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xr:revisionPtr revIDLastSave="239" documentId="104_{56F2B94A-BA69-41B2-B3DF-8D88C000F711}" xr6:coauthVersionLast="38" xr6:coauthVersionMax="38" xr10:uidLastSave="{265AADB1-2D6C-4C45-954F-3F14DA109697}"/>
  <bookViews>
    <workbookView xWindow="0" yWindow="0" windowWidth="22260" windowHeight="12645" tabRatio="899" firstSheet="2" activeTab="7" xr2:uid="{00000000-000D-0000-FFFF-FFFF00000000}"/>
  </bookViews>
  <sheets>
    <sheet name="#0 Welcome" sheetId="20" r:id="rId1"/>
    <sheet name="#1 Data" sheetId="12" r:id="rId2"/>
    <sheet name="#2 Consumption" sheetId="1" r:id="rId3"/>
    <sheet name="#3 Wind turbine estimation" sheetId="21" r:id="rId4"/>
    <sheet name="#4 Solar panel estimation" sheetId="7" r:id="rId5"/>
    <sheet name="#5 Equipment" sheetId="9" r:id="rId6"/>
    <sheet name="#6 Batteries bank estimation" sheetId="8" r:id="rId7"/>
    <sheet name="#7 Cables, ground and others" sheetId="18" r:id="rId8"/>
    <sheet name="#8 Budget" sheetId="6" r:id="rId9"/>
    <sheet name="Values &amp; Tables" sheetId="19" state="hidden" r:id="rId10"/>
  </sheets>
  <definedNames>
    <definedName name="angulo">'Values &amp; Tables'!$F$94:$G$164</definedName>
    <definedName name="AWG">'Values &amp; Tables'!$U$3:$V$304</definedName>
    <definedName name="Inverter">'#2 Consumption'!$E$8:$E$33,'#2 Consumption'!$I$8:$J$33</definedName>
    <definedName name="mm">'Values &amp; Tables'!$R$3:$S$304</definedName>
    <definedName name="Performance">'Values &amp; Tables'!$M$15:$N$90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9" l="1"/>
  <c r="D24" i="9" s="1"/>
  <c r="F55" i="7" l="1"/>
  <c r="I55" i="7" s="1"/>
  <c r="C7" i="6" l="1"/>
  <c r="C8" i="6" l="1"/>
  <c r="E6" i="6"/>
  <c r="E7" i="6"/>
  <c r="E8" i="6"/>
  <c r="E9" i="6"/>
  <c r="E10" i="6"/>
  <c r="E11" i="6"/>
  <c r="E12" i="6"/>
  <c r="E13" i="6"/>
  <c r="E14" i="6"/>
  <c r="E15" i="6"/>
  <c r="E16" i="6"/>
  <c r="E17" i="6"/>
  <c r="E18" i="6"/>
  <c r="E19" i="6"/>
  <c r="E20" i="6"/>
  <c r="E21" i="6"/>
  <c r="E22" i="6"/>
  <c r="E23" i="6"/>
  <c r="E5" i="6"/>
  <c r="K32" i="7" l="1"/>
  <c r="K33" i="7"/>
  <c r="K34" i="7"/>
  <c r="K35" i="7"/>
  <c r="K36" i="7"/>
  <c r="K37" i="7"/>
  <c r="K38" i="7"/>
  <c r="K39" i="7"/>
  <c r="K40" i="7"/>
  <c r="K41" i="7"/>
  <c r="K42" i="7"/>
  <c r="K43" i="7"/>
  <c r="F22" i="7"/>
  <c r="G141" i="19"/>
  <c r="G142" i="19"/>
  <c r="G143" i="19"/>
  <c r="G144" i="19"/>
  <c r="G145" i="19"/>
  <c r="G146" i="19"/>
  <c r="G147" i="19"/>
  <c r="G148" i="19"/>
  <c r="G149" i="19"/>
  <c r="G123" i="19"/>
  <c r="G124" i="19"/>
  <c r="G125" i="19"/>
  <c r="G126" i="19"/>
  <c r="G127" i="19"/>
  <c r="G128" i="19"/>
  <c r="G129" i="19"/>
  <c r="G130" i="19"/>
  <c r="G131" i="19"/>
  <c r="G132" i="19"/>
  <c r="G133" i="19"/>
  <c r="G134" i="19"/>
  <c r="G135" i="19"/>
  <c r="G136" i="19"/>
  <c r="G137" i="19"/>
  <c r="G138" i="19"/>
  <c r="G139" i="19"/>
  <c r="G140"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95" i="19"/>
  <c r="D37" i="21"/>
  <c r="J41" i="1"/>
  <c r="I41" i="1"/>
  <c r="B6" i="7" l="1"/>
  <c r="B6" i="21"/>
  <c r="C17" i="8"/>
  <c r="D30" i="9"/>
  <c r="B51" i="7"/>
  <c r="E40" i="21"/>
  <c r="B40" i="21"/>
  <c r="B46" i="7"/>
  <c r="B49" i="7"/>
  <c r="E33" i="7"/>
  <c r="F33" i="7" s="1"/>
  <c r="H33" i="7" s="1"/>
  <c r="E34" i="7"/>
  <c r="F34" i="7" s="1"/>
  <c r="H34" i="7" s="1"/>
  <c r="E35" i="7"/>
  <c r="F35" i="7" s="1"/>
  <c r="H35" i="7" s="1"/>
  <c r="E36" i="7"/>
  <c r="F36" i="7" s="1"/>
  <c r="H36" i="7" s="1"/>
  <c r="E37" i="7"/>
  <c r="F37" i="7" s="1"/>
  <c r="H37" i="7" s="1"/>
  <c r="E38" i="7"/>
  <c r="F38" i="7" s="1"/>
  <c r="H38" i="7" s="1"/>
  <c r="E39" i="7"/>
  <c r="F39" i="7" s="1"/>
  <c r="H39" i="7" s="1"/>
  <c r="E40" i="7"/>
  <c r="F40" i="7" s="1"/>
  <c r="H40" i="7" s="1"/>
  <c r="E41" i="7"/>
  <c r="F41" i="7" s="1"/>
  <c r="H41" i="7" s="1"/>
  <c r="E42" i="7"/>
  <c r="F42" i="7" s="1"/>
  <c r="H42" i="7" s="1"/>
  <c r="E43" i="7"/>
  <c r="F43" i="7" s="1"/>
  <c r="H43" i="7" s="1"/>
  <c r="E32" i="7"/>
  <c r="F32" i="7" s="1"/>
  <c r="H32" i="7" s="1"/>
  <c r="D39" i="21" l="1"/>
  <c r="B4" i="7"/>
  <c r="B4" i="21"/>
  <c r="F7" i="6" l="1"/>
  <c r="G7" i="6"/>
  <c r="H7" i="6"/>
  <c r="I7" i="6"/>
  <c r="H23" i="21"/>
  <c r="H24" i="21"/>
  <c r="H25" i="21"/>
  <c r="H26" i="21"/>
  <c r="H27" i="21"/>
  <c r="H28" i="21"/>
  <c r="H29" i="21"/>
  <c r="H30" i="21"/>
  <c r="H31" i="21"/>
  <c r="H32" i="21"/>
  <c r="H33" i="21"/>
  <c r="H22" i="21"/>
  <c r="H34" i="21" l="1"/>
  <c r="G23" i="6"/>
  <c r="H23" i="6"/>
  <c r="I23" i="6"/>
  <c r="F23" i="6"/>
  <c r="E24" i="6"/>
  <c r="D24" i="6"/>
  <c r="B5" i="8"/>
  <c r="K30" i="7"/>
  <c r="A62" i="19" l="1"/>
  <c r="A63" i="19"/>
  <c r="A64" i="19"/>
  <c r="E6" i="12"/>
  <c r="I12" i="6"/>
  <c r="H6" i="6"/>
  <c r="H8" i="6"/>
  <c r="H10" i="6"/>
  <c r="H11" i="6"/>
  <c r="H12" i="6"/>
  <c r="H13" i="6"/>
  <c r="H14" i="6"/>
  <c r="H15" i="6"/>
  <c r="H16" i="6"/>
  <c r="H17" i="6"/>
  <c r="H18" i="6"/>
  <c r="H19" i="6"/>
  <c r="H20" i="6"/>
  <c r="H21" i="6"/>
  <c r="H22" i="6"/>
  <c r="F6" i="6"/>
  <c r="I6" i="6" s="1"/>
  <c r="F8" i="6"/>
  <c r="I8" i="6" s="1"/>
  <c r="F9" i="6"/>
  <c r="F10" i="6"/>
  <c r="I10" i="6" s="1"/>
  <c r="F11" i="6"/>
  <c r="I11" i="6" s="1"/>
  <c r="F12" i="6"/>
  <c r="F13" i="6"/>
  <c r="I13" i="6" s="1"/>
  <c r="F14" i="6"/>
  <c r="I14" i="6" s="1"/>
  <c r="F15" i="6"/>
  <c r="I15" i="6" s="1"/>
  <c r="F16" i="6"/>
  <c r="I16" i="6" s="1"/>
  <c r="F17" i="6"/>
  <c r="I17" i="6" s="1"/>
  <c r="F18" i="6"/>
  <c r="I18" i="6" s="1"/>
  <c r="F19" i="6"/>
  <c r="I19" i="6" s="1"/>
  <c r="F20" i="6"/>
  <c r="I20" i="6" s="1"/>
  <c r="F21" i="6"/>
  <c r="I21" i="6" s="1"/>
  <c r="F22" i="6"/>
  <c r="I22" i="6" s="1"/>
  <c r="F5" i="6"/>
  <c r="H5" i="6"/>
  <c r="G5" i="6"/>
  <c r="G6" i="6"/>
  <c r="G8" i="6"/>
  <c r="G10" i="6"/>
  <c r="G11" i="6"/>
  <c r="G12" i="6"/>
  <c r="G13" i="6"/>
  <c r="G14" i="6"/>
  <c r="G15" i="6"/>
  <c r="G16" i="6"/>
  <c r="G17" i="6"/>
  <c r="G18" i="6"/>
  <c r="G19" i="6"/>
  <c r="G20" i="6"/>
  <c r="G21" i="6"/>
  <c r="G22" i="6"/>
  <c r="D18" i="18"/>
  <c r="C14" i="18"/>
  <c r="I5" i="6" l="1"/>
  <c r="F24" i="6"/>
  <c r="X9" i="1"/>
  <c r="X10" i="1"/>
  <c r="X11" i="1"/>
  <c r="X12" i="1"/>
  <c r="X13" i="1"/>
  <c r="X14" i="1"/>
  <c r="X15" i="1"/>
  <c r="X16" i="1"/>
  <c r="X17" i="1"/>
  <c r="X18" i="1"/>
  <c r="X19" i="1"/>
  <c r="X20" i="1"/>
  <c r="X21" i="1"/>
  <c r="X22" i="1"/>
  <c r="X23" i="1"/>
  <c r="X24" i="1"/>
  <c r="X25" i="1"/>
  <c r="X26" i="1"/>
  <c r="X27" i="1"/>
  <c r="X28" i="1"/>
  <c r="X29" i="1"/>
  <c r="X30" i="1"/>
  <c r="X31" i="1"/>
  <c r="X32" i="1"/>
  <c r="X33" i="1"/>
  <c r="X8" i="1"/>
  <c r="W9" i="1"/>
  <c r="W10" i="1"/>
  <c r="W11" i="1"/>
  <c r="W12" i="1"/>
  <c r="W13" i="1"/>
  <c r="W14" i="1"/>
  <c r="W15" i="1"/>
  <c r="W16" i="1"/>
  <c r="W17" i="1"/>
  <c r="W18" i="1"/>
  <c r="W19" i="1"/>
  <c r="W20" i="1"/>
  <c r="W21" i="1"/>
  <c r="W22" i="1"/>
  <c r="W23" i="1"/>
  <c r="W24" i="1"/>
  <c r="W25" i="1"/>
  <c r="W26" i="1"/>
  <c r="W27" i="1"/>
  <c r="W28" i="1"/>
  <c r="W29" i="1"/>
  <c r="W30" i="1"/>
  <c r="W31" i="1"/>
  <c r="W32" i="1"/>
  <c r="W33" i="1"/>
  <c r="W8" i="1"/>
  <c r="V33" i="1"/>
  <c r="V9" i="1"/>
  <c r="V10" i="1"/>
  <c r="V11" i="1"/>
  <c r="V12" i="1"/>
  <c r="V13" i="1"/>
  <c r="V14" i="1"/>
  <c r="V15" i="1"/>
  <c r="V16" i="1"/>
  <c r="V17" i="1"/>
  <c r="V18" i="1"/>
  <c r="V19" i="1"/>
  <c r="V20" i="1"/>
  <c r="V21" i="1"/>
  <c r="V22" i="1"/>
  <c r="V23" i="1"/>
  <c r="V24" i="1"/>
  <c r="V25" i="1"/>
  <c r="V26" i="1"/>
  <c r="V27" i="1"/>
  <c r="V28" i="1"/>
  <c r="V29" i="1"/>
  <c r="V30" i="1"/>
  <c r="V31" i="1"/>
  <c r="V32" i="1"/>
  <c r="V8" i="1"/>
  <c r="N9" i="1"/>
  <c r="N10" i="1"/>
  <c r="N11" i="1"/>
  <c r="N12" i="1"/>
  <c r="N13" i="1"/>
  <c r="N14" i="1"/>
  <c r="N15" i="1"/>
  <c r="N16" i="1"/>
  <c r="N17" i="1"/>
  <c r="N18" i="1"/>
  <c r="N19" i="1"/>
  <c r="N20" i="1"/>
  <c r="N21" i="1"/>
  <c r="N22" i="1"/>
  <c r="N23" i="1"/>
  <c r="N24" i="1"/>
  <c r="N25" i="1"/>
  <c r="N26" i="1"/>
  <c r="N27" i="1"/>
  <c r="N28" i="1"/>
  <c r="N29" i="1"/>
  <c r="N30" i="1"/>
  <c r="N31" i="1"/>
  <c r="N32" i="1"/>
  <c r="N33" i="1"/>
  <c r="N8" i="1"/>
  <c r="M9" i="1"/>
  <c r="M10" i="1"/>
  <c r="M11" i="1"/>
  <c r="M12" i="1"/>
  <c r="M13" i="1"/>
  <c r="M14" i="1"/>
  <c r="M15" i="1"/>
  <c r="M16" i="1"/>
  <c r="M17" i="1"/>
  <c r="M18" i="1"/>
  <c r="M19" i="1"/>
  <c r="M20" i="1"/>
  <c r="M21" i="1"/>
  <c r="M22" i="1"/>
  <c r="M23" i="1"/>
  <c r="M24" i="1"/>
  <c r="M25" i="1"/>
  <c r="M26" i="1"/>
  <c r="M27" i="1"/>
  <c r="M28" i="1"/>
  <c r="M29" i="1"/>
  <c r="M8" i="1"/>
  <c r="L9" i="1"/>
  <c r="L10" i="1"/>
  <c r="L11" i="1"/>
  <c r="L12" i="1"/>
  <c r="L13" i="1"/>
  <c r="L14" i="1"/>
  <c r="L15" i="1"/>
  <c r="L16" i="1"/>
  <c r="L17" i="1"/>
  <c r="L18" i="1"/>
  <c r="L19" i="1"/>
  <c r="L20" i="1"/>
  <c r="L21" i="1"/>
  <c r="L22" i="1"/>
  <c r="L23" i="1"/>
  <c r="L24" i="1"/>
  <c r="L25" i="1"/>
  <c r="L26" i="1"/>
  <c r="L27" i="1"/>
  <c r="L28" i="1"/>
  <c r="L29" i="1"/>
  <c r="L8" i="1"/>
  <c r="E5" i="12"/>
  <c r="Y19" i="1" l="1"/>
  <c r="AB19" i="1" s="1"/>
  <c r="Y18" i="1"/>
  <c r="AB18" i="1" s="1"/>
  <c r="O18" i="1"/>
  <c r="R18" i="1" s="1"/>
  <c r="O19" i="1"/>
  <c r="R19" i="1" s="1"/>
  <c r="E19" i="1"/>
  <c r="H19" i="1" s="1"/>
  <c r="E18" i="1"/>
  <c r="H18" i="1" s="1"/>
  <c r="M44" i="12" l="1"/>
  <c r="C8" i="18"/>
  <c r="C7" i="18"/>
  <c r="F20" i="7"/>
  <c r="B28" i="7"/>
  <c r="J31" i="7"/>
  <c r="C11" i="18" l="1"/>
  <c r="C9" i="18"/>
  <c r="C10" i="18" s="1"/>
  <c r="D29" i="9" s="1"/>
  <c r="C15" i="18"/>
  <c r="C16" i="18" s="1"/>
  <c r="I40" i="7"/>
  <c r="J40" i="7" s="1"/>
  <c r="I43" i="7"/>
  <c r="J43" i="7" s="1"/>
  <c r="I39" i="7"/>
  <c r="J39" i="7" s="1"/>
  <c r="I41" i="7"/>
  <c r="J41" i="7" s="1"/>
  <c r="I42" i="7"/>
  <c r="J42" i="7" s="1"/>
  <c r="I38" i="7"/>
  <c r="J38" i="7" s="1"/>
  <c r="I37" i="7"/>
  <c r="J37" i="7" s="1"/>
  <c r="I36" i="7"/>
  <c r="J36" i="7" s="1"/>
  <c r="I35" i="7"/>
  <c r="J35" i="7" s="1"/>
  <c r="I34" i="7"/>
  <c r="J34" i="7" s="1"/>
  <c r="I33" i="7"/>
  <c r="J33" i="7" s="1"/>
  <c r="I32" i="7"/>
  <c r="J32" i="7" s="1"/>
  <c r="C17" i="18"/>
  <c r="D49" i="7" l="1"/>
  <c r="C18" i="18"/>
  <c r="D52" i="7"/>
  <c r="D53" i="7" l="1"/>
  <c r="D55" i="7"/>
  <c r="B25" i="7"/>
  <c r="Y29" i="1" l="1"/>
  <c r="AB29" i="1" s="1"/>
  <c r="Y28" i="1"/>
  <c r="AB28" i="1" s="1"/>
  <c r="Y27" i="1"/>
  <c r="AB27" i="1" s="1"/>
  <c r="Y26" i="1"/>
  <c r="AB26" i="1" s="1"/>
  <c r="Y25" i="1"/>
  <c r="AB25" i="1" s="1"/>
  <c r="Y24" i="1"/>
  <c r="AB24" i="1" s="1"/>
  <c r="Y23" i="1"/>
  <c r="AB23" i="1" s="1"/>
  <c r="Y22" i="1"/>
  <c r="AB22" i="1" s="1"/>
  <c r="Y21" i="1"/>
  <c r="AB21" i="1" s="1"/>
  <c r="Y20" i="1"/>
  <c r="AB20" i="1" s="1"/>
  <c r="Y17" i="1"/>
  <c r="AB17" i="1" s="1"/>
  <c r="Y16" i="1"/>
  <c r="AB16" i="1" s="1"/>
  <c r="Y15" i="1"/>
  <c r="AB15" i="1" s="1"/>
  <c r="Y14" i="1"/>
  <c r="AB14" i="1" s="1"/>
  <c r="Y13" i="1"/>
  <c r="AB13" i="1" s="1"/>
  <c r="Y12" i="1"/>
  <c r="AB12" i="1" s="1"/>
  <c r="Y11" i="1"/>
  <c r="AB11" i="1" s="1"/>
  <c r="Y10" i="1"/>
  <c r="AB10" i="1" s="1"/>
  <c r="Y9" i="1"/>
  <c r="AB9" i="1" s="1"/>
  <c r="Y8" i="1"/>
  <c r="AB8" i="1" s="1"/>
  <c r="E36" i="1" l="1"/>
  <c r="E37" i="1" s="1"/>
  <c r="E40" i="1"/>
  <c r="E41" i="1" s="1"/>
  <c r="O29" i="1"/>
  <c r="O28" i="1"/>
  <c r="O27" i="1"/>
  <c r="O26" i="1"/>
  <c r="O25" i="1"/>
  <c r="O24" i="1"/>
  <c r="O23" i="1"/>
  <c r="O22" i="1"/>
  <c r="O21" i="1"/>
  <c r="O20" i="1"/>
  <c r="O17" i="1"/>
  <c r="O16" i="1"/>
  <c r="O15" i="1"/>
  <c r="O14" i="1"/>
  <c r="O13" i="1"/>
  <c r="O12" i="1"/>
  <c r="O11" i="1"/>
  <c r="O10" i="1"/>
  <c r="O9" i="1"/>
  <c r="O8" i="1"/>
  <c r="E10" i="1"/>
  <c r="E11" i="1"/>
  <c r="E12" i="1"/>
  <c r="E13" i="1"/>
  <c r="E14" i="1"/>
  <c r="E15" i="1"/>
  <c r="E16" i="1"/>
  <c r="E17" i="1"/>
  <c r="E20" i="1"/>
  <c r="E21" i="1"/>
  <c r="E22" i="1"/>
  <c r="E23" i="1"/>
  <c r="E24" i="1"/>
  <c r="E25" i="1"/>
  <c r="E26" i="1"/>
  <c r="E27" i="1"/>
  <c r="E28" i="1"/>
  <c r="E29" i="1"/>
  <c r="E9" i="1"/>
  <c r="E8" i="1"/>
  <c r="C9" i="9" s="1"/>
  <c r="H13" i="12"/>
  <c r="H12" i="12"/>
  <c r="F13" i="12"/>
  <c r="F12" i="12"/>
  <c r="E13" i="12"/>
  <c r="E12" i="12"/>
  <c r="H11" i="12"/>
  <c r="H10" i="12"/>
  <c r="F11" i="12"/>
  <c r="F10" i="12"/>
  <c r="E11" i="12"/>
  <c r="E10" i="12"/>
  <c r="H9" i="12"/>
  <c r="F9" i="12"/>
  <c r="H8" i="12"/>
  <c r="F8" i="12"/>
  <c r="E9" i="12"/>
  <c r="E8" i="12"/>
  <c r="C10" i="9" l="1"/>
  <c r="I40" i="1"/>
  <c r="B23" i="8"/>
  <c r="B30" i="8" s="1"/>
  <c r="C11" i="9" l="1"/>
  <c r="D22" i="9" s="1"/>
  <c r="H42" i="1"/>
  <c r="J40" i="1"/>
  <c r="H24" i="1" l="1"/>
  <c r="R24" i="1" l="1"/>
  <c r="R29" i="1"/>
  <c r="R28" i="1"/>
  <c r="R27" i="1"/>
  <c r="R26" i="1"/>
  <c r="R25" i="1"/>
  <c r="R23" i="1"/>
  <c r="R22" i="1"/>
  <c r="R21" i="1"/>
  <c r="R20" i="1"/>
  <c r="R17" i="1"/>
  <c r="R16" i="1"/>
  <c r="R15" i="1"/>
  <c r="R14" i="1"/>
  <c r="R13" i="1"/>
  <c r="R12" i="1"/>
  <c r="R11" i="1"/>
  <c r="R10" i="1"/>
  <c r="R9" i="1"/>
  <c r="R8" i="1"/>
  <c r="D36" i="1" l="1"/>
  <c r="D37" i="1" s="1"/>
  <c r="D40" i="1"/>
  <c r="H17" i="1"/>
  <c r="H26" i="1"/>
  <c r="H20" i="1"/>
  <c r="H21" i="1"/>
  <c r="H22" i="1"/>
  <c r="H23" i="1"/>
  <c r="H25" i="1"/>
  <c r="H27" i="1"/>
  <c r="H28" i="1"/>
  <c r="H29" i="1"/>
  <c r="H9" i="1"/>
  <c r="H10" i="1"/>
  <c r="H11" i="1"/>
  <c r="H12" i="1"/>
  <c r="H14" i="1"/>
  <c r="H15" i="1"/>
  <c r="H16" i="1"/>
  <c r="I39" i="1" l="1"/>
  <c r="J39" i="1" s="1"/>
  <c r="D41" i="1"/>
  <c r="H8" i="1"/>
  <c r="H13" i="1"/>
  <c r="C40" i="1" l="1"/>
  <c r="C36" i="1"/>
  <c r="C37" i="1" l="1"/>
  <c r="B45" i="1" s="1"/>
  <c r="B44" i="1"/>
  <c r="I38" i="1"/>
  <c r="I42" i="1" s="1"/>
  <c r="C44" i="1"/>
  <c r="C41" i="1"/>
  <c r="D46" i="7" l="1"/>
  <c r="F49" i="7" s="1"/>
  <c r="D40" i="21"/>
  <c r="C45" i="1"/>
  <c r="C16" i="8"/>
  <c r="B22" i="8" s="1"/>
  <c r="B24" i="8" s="1"/>
  <c r="J38" i="1"/>
  <c r="J42" i="1" s="1"/>
  <c r="D38" i="21" s="1"/>
  <c r="G53" i="7" l="1"/>
  <c r="B25" i="8" l="1"/>
  <c r="C30" i="8"/>
  <c r="D30" i="8" s="1"/>
  <c r="B26" i="8" l="1"/>
  <c r="C9" i="6" s="1"/>
  <c r="G9" i="6" l="1"/>
  <c r="G24" i="6" s="1"/>
  <c r="H9" i="6"/>
  <c r="H24" i="6" s="1"/>
  <c r="I9" i="6"/>
  <c r="I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9" authorId="0" shapeId="0" xr:uid="{6BACDC34-B4AC-4C22-AA35-0B9ECBEFFA5B}">
      <text>
        <r>
          <rPr>
            <b/>
            <sz val="9"/>
            <color indexed="81"/>
            <rFont val="Tahoma"/>
            <family val="2"/>
          </rPr>
          <t>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6" authorId="0" shapeId="0" xr:uid="{7EEB9134-A9BC-49F7-AC6C-84AC34FE524C}">
      <text>
        <r>
          <rPr>
            <b/>
            <sz val="9"/>
            <color indexed="81"/>
            <rFont val="Tahoma"/>
            <family val="2"/>
          </rPr>
          <t>Is it possible that this item is turned on at the same time with the other items? If so, select yes.For example, an alarm system cannot be turned on at the same moments than the rest of the devices, as it turns on when almost everything else turns off.</t>
        </r>
      </text>
    </comment>
    <comment ref="B7" authorId="0" shapeId="0" xr:uid="{DE79D3D5-0536-4CB9-A439-16701157D542}">
      <text>
        <r>
          <rPr>
            <b/>
            <sz val="9"/>
            <color indexed="81"/>
            <rFont val="Tahoma"/>
            <family val="2"/>
          </rPr>
          <t>Fill as many rows as you need. You can add more rows if needed</t>
        </r>
      </text>
    </comment>
    <comment ref="D7" authorId="0" shapeId="0" xr:uid="{834C730C-D07A-4FFE-BBFA-3297E5DBD6D1}">
      <text>
        <r>
          <rPr>
            <b/>
            <sz val="9"/>
            <color indexed="81"/>
            <rFont val="Tahoma"/>
            <family val="2"/>
          </rPr>
          <t>Power of your article in watts (W)</t>
        </r>
      </text>
    </comment>
    <comment ref="F7" authorId="0" shapeId="0" xr:uid="{AEAA6D47-79A1-45B4-855C-139E377655F8}">
      <text>
        <r>
          <rPr>
            <b/>
            <sz val="9"/>
            <color indexed="81"/>
            <rFont val="Tahoma"/>
            <family val="2"/>
          </rPr>
          <t xml:space="preserve">How much time is the article constantly turned on during 1 hour. Example: A fridge turns on only a few minutes (around 20%-30% of an hour) and then goes to stand-by mode, but a lamp if nobody turns it off it will remain turned on constantly the entire hour (100%)
</t>
        </r>
      </text>
    </comment>
    <comment ref="G7" authorId="0" shapeId="0" xr:uid="{C53C4546-D8EB-4DD9-9932-704F2755B764}">
      <text>
        <r>
          <rPr>
            <sz val="9"/>
            <color indexed="81"/>
            <rFont val="Tahoma"/>
            <family val="2"/>
          </rPr>
          <t>0,08 equals to 5 minutes.
0,17 equals to 10 minutes
0,33 equals to 20 minutes
0,50 equals to 30 minutes</t>
        </r>
      </text>
    </comment>
    <comment ref="I7" authorId="0" shapeId="0" xr:uid="{CAB40BE6-DE72-4631-8807-B44294FF3174}">
      <text>
        <r>
          <rPr>
            <b/>
            <sz val="9"/>
            <color indexed="81"/>
            <rFont val="Tahoma"/>
            <family val="2"/>
          </rPr>
          <t>An alternative to reduce costs, especially when energy storage is involved, is to generate or storage energy only for "Only essential items" instead for all the items that may not be necessary. Be sure to consider it</t>
        </r>
      </text>
    </comment>
    <comment ref="Q7" authorId="0" shapeId="0" xr:uid="{88E81ED2-7EF2-48BA-9E7F-0FABB9A9F8B7}">
      <text>
        <r>
          <rPr>
            <sz val="9"/>
            <color indexed="81"/>
            <rFont val="Tahoma"/>
            <family val="2"/>
          </rPr>
          <t>0,08 equals to 5 minutes.
0,17 equals to 10 minutes
0,33 equals to 20 minutes
0,50 equals to 30 minutes</t>
        </r>
      </text>
    </comment>
    <comment ref="AA7" authorId="0" shapeId="0" xr:uid="{5BF0437D-1981-4B20-B170-51D20790E839}">
      <text>
        <r>
          <rPr>
            <sz val="9"/>
            <color indexed="81"/>
            <rFont val="Tahoma"/>
            <family val="2"/>
          </rPr>
          <t>0,08 equals to 5 minutes.
0,17 equals to 10 minutes
0,33 equals to 20 minutes
0,50 equals to 30 minutes</t>
        </r>
      </text>
    </comment>
    <comment ref="G41" authorId="0" shapeId="0" xr:uid="{18DE4404-3031-4CE5-8BBD-B439DCB7A21A}">
      <text>
        <r>
          <rPr>
            <sz val="9"/>
            <color indexed="81"/>
            <rFont val="Tahoma"/>
            <family val="2"/>
          </rPr>
          <t>For example: The pharmacy in the case example #1 has "Guards" once per month. In those guards the pharmacy has to remain opened 24hs straight. You will need to fill manually the estimated consumption .
Take as a reference the consumption in a regular day to estimate the consumption of the special day</t>
        </r>
      </text>
    </comment>
    <comment ref="I41" authorId="0" shapeId="0" xr:uid="{544A6679-8607-4FBB-AFEF-DBDD01D2AF5B}">
      <text>
        <r>
          <rPr>
            <b/>
            <sz val="9"/>
            <color indexed="81"/>
            <rFont val="Tahoma"/>
            <family val="2"/>
          </rPr>
          <t>Has been taken in this case the half of the value on Saturday, as it fits with the consumption during the guards.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0" authorId="0" shapeId="0" xr:uid="{8C6A1D80-672F-4646-9802-7E94475EE1BD}">
      <text>
        <r>
          <rPr>
            <b/>
            <sz val="9"/>
            <color indexed="81"/>
            <rFont val="Tahoma"/>
            <family val="2"/>
          </rPr>
          <t xml:space="preserve">If you only have data from 1 year there is no problem, but try to get as much historic data as possible to get a more accurate value
</t>
        </r>
      </text>
    </comment>
    <comment ref="H36" authorId="0" shapeId="0" xr:uid="{1E99C99E-7F3F-45B6-9276-9DE480B711E8}">
      <text>
        <r>
          <rPr>
            <b/>
            <sz val="9"/>
            <color indexed="81"/>
            <rFont val="Tahoma"/>
            <family val="2"/>
          </rPr>
          <t>Fill this according to the power curve of your selected turbine at the wind speed obtained in the cell above of this one and multiply it for the quantity of turbines you want to install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0" authorId="0" shapeId="0" xr:uid="{FB14B2A5-2335-45EF-A4FA-62FFEF3E5F3B}">
      <text>
        <r>
          <rPr>
            <b/>
            <sz val="9"/>
            <color indexed="81"/>
            <rFont val="Tahoma"/>
            <family val="2"/>
          </rPr>
          <t xml:space="preserve">In case you have the solar radiation value per month iinstead per days then you have to take the value per month and divided it per how many days that month has.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3" authorId="0" shapeId="0" xr:uid="{9593F893-CB0B-4398-9E6E-8BD2FAACA89D}">
      <text>
        <r>
          <rPr>
            <b/>
            <sz val="9"/>
            <color indexed="81"/>
            <rFont val="Tahoma"/>
            <family val="2"/>
          </rPr>
          <t xml:space="preserve">Not mandatory to fill. Just remember to consider it if you have devices that consumes a lot of energy in a short period of time as everything that employs engines
</t>
        </r>
      </text>
    </comment>
    <comment ref="B25" authorId="0" shapeId="0" xr:uid="{F38AE47C-F2A1-45FF-8315-CE8074DB16CF}">
      <text>
        <r>
          <rPr>
            <b/>
            <sz val="9"/>
            <color indexed="81"/>
            <rFont val="Tahoma"/>
            <family val="2"/>
          </rPr>
          <t>Check the output voltage in your country to confirm if it is compatible, especially if you are importing it.</t>
        </r>
        <r>
          <rPr>
            <sz val="9"/>
            <color indexed="81"/>
            <rFont val="Tahoma"/>
            <family val="2"/>
          </rPr>
          <t xml:space="preserve">
</t>
        </r>
      </text>
    </comment>
    <comment ref="C29" authorId="0" shapeId="0" xr:uid="{30144839-1CEB-4539-ABFF-5E30C0E4D71F}">
      <text>
        <r>
          <rPr>
            <b/>
            <sz val="9"/>
            <color indexed="81"/>
            <rFont val="Tahoma"/>
            <family val="2"/>
          </rPr>
          <t>Not needed on this case. The selected inverter has the function to charge batteries</t>
        </r>
      </text>
    </comment>
  </commentList>
</comments>
</file>

<file path=xl/sharedStrings.xml><?xml version="1.0" encoding="utf-8"?>
<sst xmlns="http://schemas.openxmlformats.org/spreadsheetml/2006/main" count="694" uniqueCount="281">
  <si>
    <t>Article</t>
  </si>
  <si>
    <t>Qty</t>
  </si>
  <si>
    <t>Hours working</t>
  </si>
  <si>
    <t>Consumption (Wh/day)</t>
  </si>
  <si>
    <t>% turned on per hour</t>
  </si>
  <si>
    <t>Wh/day</t>
  </si>
  <si>
    <t>V</t>
  </si>
  <si>
    <t>May</t>
  </si>
  <si>
    <t>Electrical devices Saturday only</t>
  </si>
  <si>
    <t>Saturday only</t>
  </si>
  <si>
    <t>Item</t>
  </si>
  <si>
    <t>Regulator</t>
  </si>
  <si>
    <t>Cables</t>
  </si>
  <si>
    <t>Profit</t>
  </si>
  <si>
    <t>Pipes</t>
  </si>
  <si>
    <t>Budget</t>
  </si>
  <si>
    <t>Structure for panels</t>
  </si>
  <si>
    <t>Ground</t>
  </si>
  <si>
    <t>Batteries rack</t>
  </si>
  <si>
    <t>Logistic</t>
  </si>
  <si>
    <t xml:space="preserve">Contractor </t>
  </si>
  <si>
    <t>Initial survey</t>
  </si>
  <si>
    <t>VAT</t>
  </si>
  <si>
    <t>Mon - Fri</t>
  </si>
  <si>
    <t>Value in kWh/day</t>
  </si>
  <si>
    <t>Formula used:</t>
  </si>
  <si>
    <t>Chosen solar panel</t>
  </si>
  <si>
    <t>Brand:</t>
  </si>
  <si>
    <t>Current</t>
  </si>
  <si>
    <t>Batteries bank estimation</t>
  </si>
  <si>
    <t>Value in Wh</t>
  </si>
  <si>
    <t>Days of autonomy:</t>
  </si>
  <si>
    <t xml:space="preserve">Ah </t>
  </si>
  <si>
    <t>Total short circuit panel:</t>
  </si>
  <si>
    <t>Qty of solar panels:</t>
  </si>
  <si>
    <t>Regulator selection:</t>
  </si>
  <si>
    <t>Estimated per month</t>
  </si>
  <si>
    <t>Saturdays</t>
  </si>
  <si>
    <t>Sundays</t>
  </si>
  <si>
    <t>in kWh</t>
  </si>
  <si>
    <t>TOTAL:</t>
  </si>
  <si>
    <t>Days</t>
  </si>
  <si>
    <t>Tension needed</t>
  </si>
  <si>
    <t>Qty of batteries needed for Ah required</t>
  </si>
  <si>
    <t>Qty of batteries needed for Ah and tension required</t>
  </si>
  <si>
    <t>Types of connection</t>
  </si>
  <si>
    <t>Series</t>
  </si>
  <si>
    <t>Parallel</t>
  </si>
  <si>
    <t>Series-Parallel</t>
  </si>
  <si>
    <t>Yes</t>
  </si>
  <si>
    <t>no</t>
  </si>
  <si>
    <t>Increase tension</t>
  </si>
  <si>
    <t>Increase Ah</t>
  </si>
  <si>
    <t>Location:</t>
  </si>
  <si>
    <t>Summer</t>
  </si>
  <si>
    <t>Inhabitants</t>
  </si>
  <si>
    <t>Cooling system:</t>
  </si>
  <si>
    <t>Electric</t>
  </si>
  <si>
    <t>Cooking system:</t>
  </si>
  <si>
    <t>Workers</t>
  </si>
  <si>
    <t>Uncountable</t>
  </si>
  <si>
    <t>Saturday</t>
  </si>
  <si>
    <t>No</t>
  </si>
  <si>
    <t>Biomass</t>
  </si>
  <si>
    <t>Winter</t>
  </si>
  <si>
    <t>Autumn</t>
  </si>
  <si>
    <t>Spring</t>
  </si>
  <si>
    <t>Gas</t>
  </si>
  <si>
    <t>Charcoal</t>
  </si>
  <si>
    <t>Wood</t>
  </si>
  <si>
    <t>Other</t>
  </si>
  <si>
    <t>Application:</t>
  </si>
  <si>
    <t>Commercial</t>
  </si>
  <si>
    <t>Residential</t>
  </si>
  <si>
    <t>Monday</t>
  </si>
  <si>
    <t>Tuesday</t>
  </si>
  <si>
    <t>Wednesday</t>
  </si>
  <si>
    <t>Thursday</t>
  </si>
  <si>
    <t>Friday</t>
  </si>
  <si>
    <t>Sunday</t>
  </si>
  <si>
    <t>Closed</t>
  </si>
  <si>
    <t>Heating system:</t>
  </si>
  <si>
    <t>Name of the project:</t>
  </si>
  <si>
    <t>All year estimation</t>
  </si>
  <si>
    <t>None</t>
  </si>
  <si>
    <t>Water Heating system:</t>
  </si>
  <si>
    <t>Solar thermal collector</t>
  </si>
  <si>
    <t>Electrical consumption</t>
  </si>
  <si>
    <t>Total power (W)</t>
  </si>
  <si>
    <t>Monday to Friday days</t>
  </si>
  <si>
    <t>Energy storage (Batteries) needed:</t>
  </si>
  <si>
    <t>Essential?</t>
  </si>
  <si>
    <t>Total consumption of all items:</t>
  </si>
  <si>
    <t>All items</t>
  </si>
  <si>
    <t>Only essentials</t>
  </si>
  <si>
    <t>Do you need energy for all the items or only essential items?:</t>
  </si>
  <si>
    <t>Sunday only</t>
  </si>
  <si>
    <t>Power per unit (W)</t>
  </si>
  <si>
    <t>Electrical devices Sunday only</t>
  </si>
  <si>
    <t>Consumption only essential items:</t>
  </si>
  <si>
    <t>Cable section (mm2)</t>
  </si>
  <si>
    <t>Max. Current bearable (A)</t>
  </si>
  <si>
    <t>1/0</t>
  </si>
  <si>
    <t>2/0</t>
  </si>
  <si>
    <t>3/0</t>
  </si>
  <si>
    <t>4/0</t>
  </si>
  <si>
    <t>AWG</t>
  </si>
  <si>
    <t>mm2</t>
  </si>
  <si>
    <t>Supported tension (V):</t>
  </si>
  <si>
    <t>Do you use AWG or mm2 in your country?:</t>
  </si>
  <si>
    <t>Roof</t>
  </si>
  <si>
    <t>Solar Radiation</t>
  </si>
  <si>
    <t>Solar panels</t>
  </si>
  <si>
    <t>Battery</t>
  </si>
  <si>
    <t>Inverter</t>
  </si>
  <si>
    <t>Masonry</t>
  </si>
  <si>
    <t>Conectors</t>
  </si>
  <si>
    <t>Combiner box</t>
  </si>
  <si>
    <t>Solar panels connection:</t>
  </si>
  <si>
    <t>Lines coming to the combiner box:</t>
  </si>
  <si>
    <t>Circuit breakers needed:</t>
  </si>
  <si>
    <t>Will your system be out of the electric grid?</t>
  </si>
  <si>
    <t>Qty of panels:</t>
  </si>
  <si>
    <t>Solar panel performance</t>
  </si>
  <si>
    <t xml:space="preserve">Qty of batteries needed for Ah required </t>
  </si>
  <si>
    <t>Is your location on north or south hemisphere?:</t>
  </si>
  <si>
    <t>North hemisphere</t>
  </si>
  <si>
    <t>South hemisphere</t>
  </si>
  <si>
    <t>Your panels should face to:</t>
  </si>
  <si>
    <t>Latitud</t>
  </si>
  <si>
    <t>Inclinacion</t>
  </si>
  <si>
    <t>The angle of inclination of your panels should be:</t>
  </si>
  <si>
    <t>Turned on at the same time?</t>
  </si>
  <si>
    <t>Continuous power needed (W):</t>
  </si>
  <si>
    <t>Minimum continuous power needed (W):</t>
  </si>
  <si>
    <t>Safety margin (25%)</t>
  </si>
  <si>
    <t>Type of connection</t>
  </si>
  <si>
    <t>Type of connection between panels:</t>
  </si>
  <si>
    <t>Output combiner box cable thickness needed:</t>
  </si>
  <si>
    <t>Special days (If needed)</t>
  </si>
  <si>
    <t>Max A</t>
  </si>
  <si>
    <t>System tension (V):</t>
  </si>
  <si>
    <t>Current (Ah):</t>
  </si>
  <si>
    <t>Tension (V):</t>
  </si>
  <si>
    <t>Power (W):</t>
  </si>
  <si>
    <t>Short circuit current (A):</t>
  </si>
  <si>
    <t>Continuous power (W):</t>
  </si>
  <si>
    <t>Peak power (W):</t>
  </si>
  <si>
    <t>Output voltage (V):</t>
  </si>
  <si>
    <t>Circuit breaker minimum current (A):</t>
  </si>
  <si>
    <t>mm</t>
  </si>
  <si>
    <t>Thickness</t>
  </si>
  <si>
    <t>Electric meter &amp; installation</t>
  </si>
  <si>
    <t>Total price without VAT</t>
  </si>
  <si>
    <t>Final price incl. VAT</t>
  </si>
  <si>
    <t>Total VAT</t>
  </si>
  <si>
    <t>Electrical devices Monday to Friday</t>
  </si>
  <si>
    <t>Data about the place of application</t>
  </si>
  <si>
    <t>Solar panels estimation</t>
  </si>
  <si>
    <r>
      <t xml:space="preserve">kWh produced </t>
    </r>
    <r>
      <rPr>
        <b/>
        <u/>
        <sz val="11"/>
        <color theme="1"/>
        <rFont val="Calibri"/>
        <family val="2"/>
        <scheme val="minor"/>
      </rPr>
      <t>per day</t>
    </r>
    <r>
      <rPr>
        <b/>
        <sz val="11"/>
        <color theme="1"/>
        <rFont val="Calibri"/>
        <family val="2"/>
        <scheme val="minor"/>
      </rPr>
      <t xml:space="preserve"> by</t>
    </r>
  </si>
  <si>
    <r>
      <t xml:space="preserve">kWh produced </t>
    </r>
    <r>
      <rPr>
        <b/>
        <u/>
        <sz val="11"/>
        <color theme="1"/>
        <rFont val="Calibri"/>
        <family val="2"/>
        <scheme val="minor"/>
      </rPr>
      <t>per month</t>
    </r>
    <r>
      <rPr>
        <b/>
        <sz val="11"/>
        <color theme="1"/>
        <rFont val="Calibri"/>
        <family val="2"/>
        <scheme val="minor"/>
      </rPr>
      <t xml:space="preserve"> by</t>
    </r>
  </si>
  <si>
    <t>Wind energy:</t>
  </si>
  <si>
    <t>Solar energy:</t>
  </si>
  <si>
    <t>Current (A):</t>
  </si>
  <si>
    <t>Select the latitude of your location:</t>
  </si>
  <si>
    <t>Are you going to install the panels on a roof or in the ground?:</t>
  </si>
  <si>
    <t>January</t>
  </si>
  <si>
    <t>February</t>
  </si>
  <si>
    <t>March</t>
  </si>
  <si>
    <t>April</t>
  </si>
  <si>
    <t>June</t>
  </si>
  <si>
    <t>July</t>
  </si>
  <si>
    <t>August</t>
  </si>
  <si>
    <t>September</t>
  </si>
  <si>
    <t>October</t>
  </si>
  <si>
    <t>November</t>
  </si>
  <si>
    <t>December</t>
  </si>
  <si>
    <t>Chosen battery</t>
  </si>
  <si>
    <t>Wh needed per day:</t>
  </si>
  <si>
    <t>Batteries connection required</t>
  </si>
  <si>
    <t>Chosen inverter</t>
  </si>
  <si>
    <t>Cable estimation</t>
  </si>
  <si>
    <t>Short circuit current (A) (per panel):</t>
  </si>
  <si>
    <t>Total short-circuit current (A) in parallel (Including Safety margin):</t>
  </si>
  <si>
    <t>Total short-circuit current (A) in series (Including safety margin):</t>
  </si>
  <si>
    <t>Price p/unit incl. VAT</t>
  </si>
  <si>
    <t>Price p/unit without VAT</t>
  </si>
  <si>
    <t>Wind turbine</t>
  </si>
  <si>
    <t>Chosen wind turbine</t>
  </si>
  <si>
    <t>Model:</t>
  </si>
  <si>
    <t>Avg wind speed</t>
  </si>
  <si>
    <t>Avg wind speed per year (m/s)</t>
  </si>
  <si>
    <t>Starting wind speed (m/s):</t>
  </si>
  <si>
    <t>Wind turbine estimation</t>
  </si>
  <si>
    <t>Wind resource (in m/s) over the last years</t>
  </si>
  <si>
    <t>Year #1</t>
  </si>
  <si>
    <t>Year #2</t>
  </si>
  <si>
    <t>Year #3</t>
  </si>
  <si>
    <t>Year #4</t>
  </si>
  <si>
    <t>Avg last years</t>
  </si>
  <si>
    <t>Renewable sources that will be used</t>
  </si>
  <si>
    <t xml:space="preserve">Power per unit (W) </t>
  </si>
  <si>
    <t>In this sheet, you have to detail all the electrical devices that will be connected to your system.</t>
  </si>
  <si>
    <t>For this sheet, it is necessary to know the specifications of the battery you want for your system. Also, you have to define the DoD and days of autonomy</t>
  </si>
  <si>
    <t>DoD (%):</t>
  </si>
  <si>
    <t>Value needed per month (in kWh):</t>
  </si>
  <si>
    <t>Value needed per year (in kWh):</t>
  </si>
  <si>
    <t>Energy produced by wind turbine per year (in kWh):</t>
  </si>
  <si>
    <t>Expected production per year (kWh)</t>
  </si>
  <si>
    <t>Welcome to the solar-wind calculator</t>
  </si>
  <si>
    <t>Before you start, you need to know some basics about this excel file:</t>
  </si>
  <si>
    <t>The cells like this:</t>
  </si>
  <si>
    <t>in other cases you have to fill it manually</t>
  </si>
  <si>
    <t xml:space="preserve">are the one you have to fill. In some cases there are predifined options, </t>
  </si>
  <si>
    <t>contains comments to help you to understand its content</t>
  </si>
  <si>
    <t>previous sheets</t>
  </si>
  <si>
    <t>contains messages that will appear (or not) depending on your choices on</t>
  </si>
  <si>
    <t>How to use it:</t>
  </si>
  <si>
    <t>Welcome!</t>
  </si>
  <si>
    <t>Remember that:</t>
  </si>
  <si>
    <t>and personal uses.</t>
  </si>
  <si>
    <t>* This is an Excel file with its limitations, that has been created as a free tool to be used for start-ups, investigation</t>
  </si>
  <si>
    <t>* If you need professional calculations then you should move to commercial software</t>
  </si>
  <si>
    <t>* Always play with the different options to get the best choice at the best cost. Instead more panels try to select a panel</t>
  </si>
  <si>
    <t>with more power. Instead more batteries try to get another model that has more current, or change the DoD and so on</t>
  </si>
  <si>
    <t xml:space="preserve">solar radiation. </t>
  </si>
  <si>
    <t>For this sheet, you need to know the specifications of the inverter and regulator you want for your system</t>
  </si>
  <si>
    <t>For this sheet, you need to know the specifications about the wind turbine model you want for your system. It is also necessary to know  wind speed of your location in m/s to calculate how much energy can be produced</t>
  </si>
  <si>
    <t>For this sheet, you need to know the specifications of the solar panel you want for your system. Also, it is necessary to know the solar radiation on your location to calculate how much energy can be produced</t>
  </si>
  <si>
    <t>Equipment</t>
  </si>
  <si>
    <t>Nominal power (W):</t>
  </si>
  <si>
    <t>Average solar array production per month in kWh:</t>
  </si>
  <si>
    <t>Energy needed per month (kWh):</t>
  </si>
  <si>
    <t>Average solar array production per day over the year in kWh:</t>
  </si>
  <si>
    <t>Input CC (A):</t>
  </si>
  <si>
    <r>
      <rPr>
        <b/>
        <sz val="12"/>
        <color rgb="FFFF0000"/>
        <rFont val="Calibri"/>
        <family val="2"/>
        <scheme val="minor"/>
      </rPr>
      <t>#2</t>
    </r>
    <r>
      <rPr>
        <sz val="12"/>
        <color theme="1"/>
        <rFont val="Calibri"/>
        <family val="2"/>
        <scheme val="minor"/>
      </rPr>
      <t>: Always fill all the cells marked on</t>
    </r>
  </si>
  <si>
    <r>
      <rPr>
        <b/>
        <sz val="12"/>
        <color rgb="FFFF0000"/>
        <rFont val="Calibri"/>
        <family val="2"/>
        <scheme val="minor"/>
      </rPr>
      <t>#3</t>
    </r>
    <r>
      <rPr>
        <sz val="12"/>
        <color theme="1"/>
        <rFont val="Calibri"/>
        <family val="2"/>
        <scheme val="minor"/>
      </rPr>
      <t>: Follow the sheets in order, do not jump from the first to the fourth.</t>
    </r>
  </si>
  <si>
    <r>
      <rPr>
        <b/>
        <sz val="12"/>
        <color rgb="FFFF0000"/>
        <rFont val="Calibri"/>
        <family val="2"/>
        <scheme val="minor"/>
      </rPr>
      <t>#4</t>
    </r>
    <r>
      <rPr>
        <sz val="12"/>
        <color theme="1"/>
        <rFont val="Calibri"/>
        <family val="2"/>
        <scheme val="minor"/>
      </rPr>
      <t>: Be sure to scroll down and move to the right until it gets blue to confirm you have seen all the content of the sheet</t>
    </r>
  </si>
  <si>
    <t>* You have to find by yourself data about the place where your project will be installed, as wind speed and</t>
  </si>
  <si>
    <t>System Tension (V):</t>
  </si>
  <si>
    <t>Enertik</t>
  </si>
  <si>
    <t>Average temperature during sun hours (Celsius)</t>
  </si>
  <si>
    <t>kWh/m2 per day</t>
  </si>
  <si>
    <t>Estimated solar array production annually in kWh:</t>
  </si>
  <si>
    <t>Pharmacy</t>
  </si>
  <si>
    <t>Villa Adelina (Buenos Aires)</t>
  </si>
  <si>
    <t>Computer</t>
  </si>
  <si>
    <t>Printer</t>
  </si>
  <si>
    <t>Notebook</t>
  </si>
  <si>
    <t>Posnet</t>
  </si>
  <si>
    <t>Modem</t>
  </si>
  <si>
    <t>Lightning (General) (Replaced by LED)</t>
  </si>
  <si>
    <t>Lightning (Small room) (replaced by LED)</t>
  </si>
  <si>
    <t>Lightning (Bathroom) (replaced by LED)</t>
  </si>
  <si>
    <t>Fridge (Work hours)</t>
  </si>
  <si>
    <t>Fridge (Rest hours)</t>
  </si>
  <si>
    <t>Security blind #1</t>
  </si>
  <si>
    <t>Security blind #2</t>
  </si>
  <si>
    <t>Security blind #3</t>
  </si>
  <si>
    <t>Alarm system</t>
  </si>
  <si>
    <t>Register machine</t>
  </si>
  <si>
    <t>Digital weighing scale</t>
  </si>
  <si>
    <t>AC</t>
  </si>
  <si>
    <t>Water heater (Work hours)</t>
  </si>
  <si>
    <t>Water heater (Rest hours)</t>
  </si>
  <si>
    <t>TV</t>
  </si>
  <si>
    <t>Phone charger</t>
  </si>
  <si>
    <t>Microwave</t>
  </si>
  <si>
    <t>Quantity of turbines</t>
  </si>
  <si>
    <t>Losses in the panels caused by temperature are calculated separated</t>
  </si>
  <si>
    <t>(Solar panel power * System eficiency (86,5%) * Solar radiation) / 1000 = kWh generated per day</t>
  </si>
  <si>
    <t>Ah Needed</t>
  </si>
  <si>
    <r>
      <rPr>
        <b/>
        <sz val="12"/>
        <color rgb="FFFF0000"/>
        <rFont val="Calibri"/>
        <family val="2"/>
        <scheme val="minor"/>
      </rPr>
      <t>#1</t>
    </r>
    <r>
      <rPr>
        <sz val="12"/>
        <color theme="1"/>
        <rFont val="Calibri"/>
        <family val="2"/>
        <scheme val="minor"/>
      </rPr>
      <t xml:space="preserve">: It is recommended to use this file together with the guide "Self-generation of energy in Argentina", it contents the </t>
    </r>
  </si>
  <si>
    <t>explanation about all the concepts included here and it has examples of cases of application using this excel file</t>
  </si>
  <si>
    <t>Voltage open circuit (Voc):</t>
  </si>
  <si>
    <t>Do you need to supply energy to devices or just convert the energy to sell it to the grid?</t>
  </si>
  <si>
    <t>Energy to devices</t>
  </si>
  <si>
    <t>Just to sell it to the grid</t>
  </si>
  <si>
    <t>Maximum voltage input (V)</t>
  </si>
  <si>
    <t>Voltage coming from the solar panels:</t>
  </si>
  <si>
    <t>To supply energy to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</si>
</sst>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164" formatCode="[$-F400]h:mm:ss\ AM/PM"/>
    <numFmt numFmtId="165" formatCode="0;;;@"/>
    <numFmt numFmtId="166" formatCode="0.0%"/>
    <numFmt numFmtId="167" formatCode="0.00;;;@"/>
    <numFmt numFmtId="168" formatCode="0.000"/>
    <numFmt numFmtId="169" formatCode="0.0"/>
    <numFmt numFmtId="170" formatCode="0.0;;;@"/>
    <numFmt numFmtId="171" formatCode="_-* #,##0.00\ [$USD]_-;\-* #,##0.00\ [$USD]_-;_-* &quot;-&quot;??\ [$USD]_-;_-@_-"/>
  </numFmts>
  <fonts count="19" x14ac:knownFonts="1">
    <font>
      <sz val="11"/>
      <color theme="1"/>
      <name val="Calibri"/>
      <family val="2"/>
      <scheme val="minor"/>
    </font>
    <font>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20"/>
      <color theme="1"/>
      <name val="Calibri"/>
      <family val="2"/>
      <scheme val="minor"/>
    </font>
    <font>
      <b/>
      <u/>
      <sz val="18"/>
      <color theme="1"/>
      <name val="Calibri"/>
      <family val="2"/>
      <scheme val="minor"/>
    </font>
    <font>
      <sz val="9"/>
      <color indexed="81"/>
      <name val="Tahoma"/>
      <family val="2"/>
    </font>
    <font>
      <sz val="18"/>
      <color rgb="FFFF0000"/>
      <name val="Calibri"/>
      <family val="2"/>
      <scheme val="minor"/>
    </font>
    <font>
      <b/>
      <sz val="9"/>
      <color indexed="81"/>
      <name val="Tahoma"/>
      <family val="2"/>
    </font>
    <font>
      <b/>
      <sz val="12"/>
      <name val="Calibri"/>
      <family val="2"/>
      <scheme val="minor"/>
    </font>
    <font>
      <sz val="22"/>
      <color theme="1"/>
      <name val="Calibri"/>
      <family val="2"/>
      <scheme val="minor"/>
    </font>
    <font>
      <b/>
      <sz val="12"/>
      <color rgb="FFFF0000"/>
      <name val="Calibri"/>
      <family val="2"/>
      <scheme val="minor"/>
    </font>
    <font>
      <b/>
      <u/>
      <sz val="12"/>
      <color theme="1"/>
      <name val="Calibri"/>
      <family val="2"/>
      <scheme val="minor"/>
    </font>
    <font>
      <b/>
      <sz val="14"/>
      <color rgb="FFFF0000"/>
      <name val="Calibri"/>
      <family val="2"/>
      <scheme val="minor"/>
    </font>
    <font>
      <b/>
      <sz val="14"/>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0"/>
        <bgColor indexed="64"/>
      </patternFill>
    </fill>
  </fills>
  <borders count="3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78">
    <xf numFmtId="0" fontId="0" fillId="0" borderId="0" xfId="0"/>
    <xf numFmtId="9" fontId="0" fillId="0" borderId="0" xfId="1" applyNumberFormat="1" applyFont="1"/>
    <xf numFmtId="2" fontId="0" fillId="0" borderId="0" xfId="0" applyNumberFormat="1" applyAlignment="1">
      <alignment horizontal="right"/>
    </xf>
    <xf numFmtId="2" fontId="0" fillId="0" borderId="0" xfId="0" applyNumberFormat="1"/>
    <xf numFmtId="44" fontId="0" fillId="0" borderId="0" xfId="2" applyFont="1"/>
    <xf numFmtId="0" fontId="0" fillId="2" borderId="0" xfId="0" applyFill="1"/>
    <xf numFmtId="0" fontId="0" fillId="0" borderId="0" xfId="0" applyBorder="1"/>
    <xf numFmtId="2" fontId="0" fillId="0" borderId="0" xfId="0" applyNumberFormat="1" applyBorder="1"/>
    <xf numFmtId="0" fontId="0" fillId="0" borderId="0" xfId="0" applyFill="1" applyBorder="1" applyAlignment="1"/>
    <xf numFmtId="9" fontId="0" fillId="2" borderId="0" xfId="1" applyNumberFormat="1" applyFont="1" applyFill="1"/>
    <xf numFmtId="0" fontId="0" fillId="0" borderId="0" xfId="0" applyAlignment="1">
      <alignment vertical="center" wrapText="1"/>
    </xf>
    <xf numFmtId="0" fontId="0" fillId="0" borderId="0" xfId="0" applyAlignment="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9" fontId="0" fillId="0" borderId="0" xfId="0" applyNumberFormat="1"/>
    <xf numFmtId="2" fontId="0" fillId="0" borderId="0" xfId="0" applyNumberFormat="1" applyAlignment="1">
      <alignment horizontal="center"/>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vertical="center"/>
    </xf>
    <xf numFmtId="0" fontId="0" fillId="0" borderId="0" xfId="0" applyAlignment="1">
      <alignment horizontal="left" vertical="center"/>
    </xf>
    <xf numFmtId="0" fontId="0" fillId="0" borderId="0" xfId="0" applyFill="1" applyBorder="1"/>
    <xf numFmtId="0" fontId="0" fillId="0" borderId="0" xfId="0" applyFill="1"/>
    <xf numFmtId="0" fontId="0" fillId="0" borderId="0" xfId="0" applyFill="1" applyBorder="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left"/>
    </xf>
    <xf numFmtId="2" fontId="0" fillId="0" borderId="0" xfId="0" applyNumberFormat="1" applyFill="1" applyBorder="1"/>
    <xf numFmtId="44" fontId="0" fillId="0" borderId="0" xfId="2" applyFont="1" applyFill="1" applyBorder="1"/>
    <xf numFmtId="164" fontId="0" fillId="0" borderId="0" xfId="0" applyNumberFormat="1"/>
    <xf numFmtId="164" fontId="0" fillId="0" borderId="0" xfId="0" applyNumberFormat="1" applyFill="1" applyBorder="1"/>
    <xf numFmtId="164" fontId="0" fillId="0" borderId="0" xfId="0" applyNumberFormat="1" applyFill="1" applyBorder="1" applyAlignment="1">
      <alignment horizontal="right"/>
    </xf>
    <xf numFmtId="165" fontId="0" fillId="0" borderId="0" xfId="0" applyNumberFormat="1"/>
    <xf numFmtId="0" fontId="0" fillId="0" borderId="0" xfId="0"/>
    <xf numFmtId="9" fontId="0" fillId="0" borderId="0" xfId="1" applyNumberFormat="1" applyFont="1" applyFill="1"/>
    <xf numFmtId="9" fontId="0" fillId="0" borderId="0" xfId="0" applyNumberFormat="1" applyFill="1" applyBorder="1"/>
    <xf numFmtId="0" fontId="0" fillId="0" borderId="0" xfId="0" applyAlignment="1">
      <alignment vertical="center"/>
    </xf>
    <xf numFmtId="0" fontId="0" fillId="0" borderId="0" xfId="0" applyFill="1" applyBorder="1" applyAlignment="1">
      <alignment horizontal="right"/>
    </xf>
    <xf numFmtId="2" fontId="0" fillId="0" borderId="0" xfId="2" applyNumberFormat="1" applyFont="1" applyFill="1" applyBorder="1" applyAlignment="1">
      <alignment horizontal="right"/>
    </xf>
    <xf numFmtId="165" fontId="0" fillId="0" borderId="0" xfId="0" applyNumberFormat="1" applyAlignment="1">
      <alignment horizontal="lef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2" fontId="0" fillId="0" borderId="0" xfId="0" applyNumberFormat="1" applyAlignment="1">
      <alignment vertical="center"/>
    </xf>
    <xf numFmtId="165" fontId="0" fillId="0" borderId="0" xfId="0" applyNumberFormat="1" applyBorder="1"/>
    <xf numFmtId="9" fontId="0" fillId="0" borderId="0" xfId="1" applyFont="1"/>
    <xf numFmtId="9" fontId="0" fillId="0" borderId="0" xfId="1" applyFont="1" applyFill="1" applyBorder="1"/>
    <xf numFmtId="166" fontId="0" fillId="0" borderId="0" xfId="1" applyNumberFormat="1" applyFont="1" applyFill="1" applyBorder="1"/>
    <xf numFmtId="18" fontId="0" fillId="0" borderId="0" xfId="0" applyNumberFormat="1"/>
    <xf numFmtId="165" fontId="0" fillId="0" borderId="0" xfId="1" applyNumberFormat="1" applyFont="1"/>
    <xf numFmtId="165" fontId="0" fillId="0" borderId="0" xfId="0" applyNumberFormat="1" applyFill="1" applyBorder="1" applyAlignment="1"/>
    <xf numFmtId="165" fontId="0" fillId="0" borderId="0" xfId="0" applyNumberFormat="1" applyBorder="1" applyAlignment="1"/>
    <xf numFmtId="0" fontId="0" fillId="2" borderId="0" xfId="0" applyFill="1" applyBorder="1"/>
    <xf numFmtId="2" fontId="0" fillId="0" borderId="0" xfId="0" applyNumberFormat="1" applyFill="1" applyAlignment="1">
      <alignment horizontal="right"/>
    </xf>
    <xf numFmtId="44" fontId="0" fillId="0" borderId="0" xfId="2" applyFont="1" applyFill="1"/>
    <xf numFmtId="1" fontId="0" fillId="0" borderId="0" xfId="0" applyNumberFormat="1" applyFill="1" applyBorder="1"/>
    <xf numFmtId="165" fontId="0" fillId="0" borderId="3" xfId="0" applyNumberFormat="1" applyBorder="1"/>
    <xf numFmtId="0" fontId="0" fillId="0" borderId="3" xfId="0" applyBorder="1" applyAlignment="1">
      <alignment horizontal="center"/>
    </xf>
    <xf numFmtId="165" fontId="0" fillId="0" borderId="3" xfId="0" applyNumberFormat="1" applyBorder="1" applyAlignment="1">
      <alignment horizontal="center"/>
    </xf>
    <xf numFmtId="2" fontId="0" fillId="0" borderId="3" xfId="0" applyNumberFormat="1" applyBorder="1" applyAlignment="1">
      <alignment horizontal="center"/>
    </xf>
    <xf numFmtId="165" fontId="2" fillId="0" borderId="3" xfId="0" applyNumberFormat="1" applyFont="1" applyBorder="1" applyAlignment="1">
      <alignment horizontal="center"/>
    </xf>
    <xf numFmtId="0" fontId="0" fillId="6" borderId="0" xfId="0" applyFill="1"/>
    <xf numFmtId="0" fontId="0" fillId="6" borderId="0" xfId="0" applyFill="1" applyBorder="1"/>
    <xf numFmtId="9" fontId="0" fillId="6" borderId="0" xfId="1" applyNumberFormat="1" applyFont="1" applyFill="1"/>
    <xf numFmtId="0" fontId="2" fillId="7" borderId="11" xfId="0" applyFont="1" applyFill="1" applyBorder="1" applyAlignment="1">
      <alignment horizontal="center"/>
    </xf>
    <xf numFmtId="0" fontId="2" fillId="7" borderId="3" xfId="0" applyFont="1" applyFill="1" applyBorder="1"/>
    <xf numFmtId="0" fontId="2" fillId="7" borderId="3" xfId="0" applyFont="1" applyFill="1" applyBorder="1" applyAlignment="1">
      <alignment horizontal="center"/>
    </xf>
    <xf numFmtId="0" fontId="0" fillId="2" borderId="3" xfId="0" applyFill="1" applyBorder="1"/>
    <xf numFmtId="165" fontId="0" fillId="0" borderId="3" xfId="0" applyNumberFormat="1" applyFill="1" applyBorder="1"/>
    <xf numFmtId="165" fontId="0" fillId="2" borderId="3" xfId="0" applyNumberFormat="1" applyFill="1" applyBorder="1"/>
    <xf numFmtId="9" fontId="2" fillId="7" borderId="3" xfId="1" applyNumberFormat="1" applyFont="1" applyFill="1" applyBorder="1"/>
    <xf numFmtId="0" fontId="0" fillId="7" borderId="3" xfId="0" applyFill="1" applyBorder="1"/>
    <xf numFmtId="167" fontId="0" fillId="0" borderId="3" xfId="0" applyNumberFormat="1" applyBorder="1" applyAlignment="1">
      <alignment horizontal="center"/>
    </xf>
    <xf numFmtId="165" fontId="0" fillId="0" borderId="16" xfId="0" applyNumberFormat="1" applyBorder="1"/>
    <xf numFmtId="165" fontId="0" fillId="0" borderId="6" xfId="0" applyNumberFormat="1" applyBorder="1"/>
    <xf numFmtId="165" fontId="0" fillId="0" borderId="8" xfId="0" applyNumberFormat="1" applyBorder="1"/>
    <xf numFmtId="165" fontId="0" fillId="0" borderId="9" xfId="0" applyNumberFormat="1" applyBorder="1"/>
    <xf numFmtId="165" fontId="0" fillId="0" borderId="8" xfId="0" applyNumberFormat="1" applyFill="1" applyBorder="1"/>
    <xf numFmtId="0" fontId="0" fillId="0" borderId="16" xfId="0" applyBorder="1"/>
    <xf numFmtId="165" fontId="0" fillId="0" borderId="5" xfId="1" applyNumberFormat="1" applyFont="1" applyBorder="1"/>
    <xf numFmtId="165" fontId="2" fillId="0" borderId="5" xfId="1" applyNumberFormat="1" applyFont="1" applyBorder="1" applyAlignment="1">
      <alignment horizontal="right"/>
    </xf>
    <xf numFmtId="165" fontId="2" fillId="0" borderId="7" xfId="1" applyNumberFormat="1" applyFont="1" applyBorder="1" applyAlignment="1">
      <alignment horizontal="right"/>
    </xf>
    <xf numFmtId="165" fontId="2" fillId="0" borderId="5" xfId="1" applyNumberFormat="1" applyFont="1" applyBorder="1" applyAlignment="1">
      <alignment horizontal="right" vertical="center" wrapText="1"/>
    </xf>
    <xf numFmtId="165" fontId="5" fillId="0" borderId="8" xfId="0" applyNumberFormat="1" applyFont="1" applyBorder="1" applyAlignment="1">
      <alignment horizontal="center"/>
    </xf>
    <xf numFmtId="165" fontId="2" fillId="0" borderId="6" xfId="0" applyNumberFormat="1" applyFont="1" applyBorder="1" applyAlignment="1">
      <alignment horizontal="center"/>
    </xf>
    <xf numFmtId="165" fontId="2" fillId="0" borderId="6" xfId="0" applyNumberFormat="1" applyFont="1" applyFill="1" applyBorder="1" applyAlignment="1"/>
    <xf numFmtId="165" fontId="2" fillId="0" borderId="6" xfId="0" applyNumberFormat="1" applyFont="1" applyBorder="1"/>
    <xf numFmtId="165" fontId="2" fillId="0" borderId="15" xfId="0" applyNumberFormat="1" applyFont="1" applyBorder="1" applyAlignment="1">
      <alignment horizontal="center"/>
    </xf>
    <xf numFmtId="168" fontId="0" fillId="0" borderId="0" xfId="0" applyNumberFormat="1"/>
    <xf numFmtId="0" fontId="7"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3" xfId="0" applyFont="1" applyFill="1" applyBorder="1" applyAlignment="1">
      <alignment horizontal="center" wrapText="1"/>
    </xf>
    <xf numFmtId="0" fontId="2" fillId="7" borderId="3" xfId="0" applyFont="1" applyFill="1" applyBorder="1" applyAlignment="1">
      <alignment horizontal="left"/>
    </xf>
    <xf numFmtId="0" fontId="5" fillId="7" borderId="3" xfId="0" applyFont="1" applyFill="1" applyBorder="1"/>
    <xf numFmtId="165" fontId="0" fillId="6" borderId="0" xfId="0" applyNumberFormat="1" applyFill="1" applyAlignment="1">
      <alignment horizontal="left" wrapText="1"/>
    </xf>
    <xf numFmtId="0" fontId="2" fillId="9" borderId="3" xfId="0" applyFont="1" applyFill="1" applyBorder="1"/>
    <xf numFmtId="0" fontId="0" fillId="6" borderId="0" xfId="0" applyFill="1" applyAlignment="1">
      <alignment horizontal="center"/>
    </xf>
    <xf numFmtId="2" fontId="0" fillId="6" borderId="0" xfId="0" applyNumberFormat="1" applyFill="1" applyAlignment="1">
      <alignment horizontal="center"/>
    </xf>
    <xf numFmtId="0" fontId="5" fillId="0" borderId="3" xfId="0" applyFont="1" applyBorder="1" applyAlignment="1"/>
    <xf numFmtId="0" fontId="5" fillId="0" borderId="3" xfId="0" applyFont="1" applyBorder="1"/>
    <xf numFmtId="2" fontId="5" fillId="0" borderId="3" xfId="0" applyNumberFormat="1" applyFont="1" applyBorder="1"/>
    <xf numFmtId="0" fontId="2" fillId="7" borderId="3" xfId="0" applyFont="1" applyFill="1" applyBorder="1" applyAlignment="1"/>
    <xf numFmtId="2" fontId="2" fillId="7" borderId="3" xfId="0" applyNumberFormat="1" applyFont="1" applyFill="1" applyBorder="1"/>
    <xf numFmtId="1" fontId="5" fillId="0" borderId="3" xfId="0" applyNumberFormat="1" applyFont="1" applyBorder="1" applyAlignment="1"/>
    <xf numFmtId="2" fontId="5" fillId="0" borderId="3" xfId="0" applyNumberFormat="1" applyFont="1" applyBorder="1" applyAlignment="1"/>
    <xf numFmtId="165" fontId="0" fillId="6" borderId="0" xfId="0" applyNumberFormat="1" applyFill="1"/>
    <xf numFmtId="165" fontId="0" fillId="0" borderId="3" xfId="0" applyNumberFormat="1" applyBorder="1" applyAlignment="1">
      <alignment vertical="center"/>
    </xf>
    <xf numFmtId="165" fontId="0" fillId="0" borderId="3" xfId="0" applyNumberFormat="1" applyBorder="1" applyAlignment="1"/>
    <xf numFmtId="165" fontId="2" fillId="7" borderId="3" xfId="0" applyNumberFormat="1" applyFont="1" applyFill="1" applyBorder="1"/>
    <xf numFmtId="165" fontId="2" fillId="7" borderId="3" xfId="0" applyNumberFormat="1" applyFont="1" applyFill="1" applyBorder="1" applyAlignment="1">
      <alignment horizontal="left"/>
    </xf>
    <xf numFmtId="165" fontId="2" fillId="7" borderId="3" xfId="0" applyNumberFormat="1" applyFont="1" applyFill="1" applyBorder="1" applyAlignment="1">
      <alignment wrapText="1"/>
    </xf>
    <xf numFmtId="165" fontId="0" fillId="6" borderId="0" xfId="0" applyNumberFormat="1" applyFill="1" applyBorder="1"/>
    <xf numFmtId="0" fontId="0" fillId="0" borderId="3" xfId="0" applyFont="1" applyBorder="1"/>
    <xf numFmtId="0" fontId="0" fillId="0" borderId="3" xfId="0" applyFont="1" applyBorder="1" applyAlignment="1">
      <alignment horizontal="left" vertical="center"/>
    </xf>
    <xf numFmtId="0" fontId="0" fillId="0" borderId="4" xfId="0" applyFont="1" applyBorder="1"/>
    <xf numFmtId="0" fontId="5" fillId="0" borderId="22" xfId="0" applyFont="1" applyBorder="1"/>
    <xf numFmtId="0" fontId="5" fillId="5" borderId="23" xfId="0" applyFont="1" applyFill="1" applyBorder="1"/>
    <xf numFmtId="0" fontId="5" fillId="3" borderId="23" xfId="0" applyFont="1" applyFill="1" applyBorder="1"/>
    <xf numFmtId="0" fontId="5" fillId="4" borderId="23" xfId="0" applyFont="1" applyFill="1" applyBorder="1"/>
    <xf numFmtId="0" fontId="5" fillId="4" borderId="24" xfId="0" applyFont="1" applyFill="1" applyBorder="1"/>
    <xf numFmtId="0" fontId="2" fillId="0" borderId="3" xfId="0" applyFont="1" applyBorder="1" applyAlignment="1">
      <alignment horizontal="right"/>
    </xf>
    <xf numFmtId="0" fontId="9" fillId="6" borderId="0" xfId="0" applyFont="1" applyFill="1" applyAlignment="1">
      <alignment vertical="center"/>
    </xf>
    <xf numFmtId="0" fontId="0" fillId="6" borderId="0" xfId="0" applyFill="1" applyAlignment="1">
      <alignment horizontal="center"/>
    </xf>
    <xf numFmtId="2" fontId="2" fillId="0" borderId="3" xfId="0" applyNumberFormat="1" applyFont="1" applyBorder="1" applyAlignment="1">
      <alignment horizontal="center"/>
    </xf>
    <xf numFmtId="0" fontId="0" fillId="6" borderId="0" xfId="0" applyFill="1" applyBorder="1" applyAlignment="1">
      <alignment horizontal="center"/>
    </xf>
    <xf numFmtId="165" fontId="0" fillId="6" borderId="0" xfId="0" applyNumberFormat="1" applyFill="1" applyAlignment="1">
      <alignment horizontal="center"/>
    </xf>
    <xf numFmtId="1" fontId="0" fillId="6" borderId="0" xfId="0" applyNumberFormat="1" applyFill="1" applyAlignment="1">
      <alignment horizontal="center" vertical="center"/>
    </xf>
    <xf numFmtId="0" fontId="2" fillId="7" borderId="3" xfId="0" applyFont="1" applyFill="1" applyBorder="1" applyAlignment="1">
      <alignment horizontal="left" wrapText="1"/>
    </xf>
    <xf numFmtId="165" fontId="6" fillId="10" borderId="3" xfId="0" applyNumberFormat="1" applyFont="1" applyFill="1" applyBorder="1" applyAlignment="1">
      <alignment horizontal="center" wrapText="1"/>
    </xf>
    <xf numFmtId="0" fontId="9" fillId="6" borderId="0" xfId="0" applyFont="1" applyFill="1" applyBorder="1" applyAlignment="1">
      <alignment vertical="center"/>
    </xf>
    <xf numFmtId="0" fontId="9" fillId="7" borderId="3" xfId="0" applyFont="1" applyFill="1" applyBorder="1" applyAlignment="1">
      <alignment horizontal="center"/>
    </xf>
    <xf numFmtId="0" fontId="0" fillId="0" borderId="0" xfId="0" applyFill="1" applyAlignment="1">
      <alignment horizontal="center"/>
    </xf>
    <xf numFmtId="2" fontId="0" fillId="0" borderId="0" xfId="0" applyNumberFormat="1" applyFill="1"/>
    <xf numFmtId="165" fontId="3" fillId="6" borderId="0" xfId="0" applyNumberFormat="1" applyFont="1" applyFill="1" applyBorder="1"/>
    <xf numFmtId="165" fontId="0" fillId="6" borderId="0" xfId="1" applyNumberFormat="1" applyFont="1" applyFill="1"/>
    <xf numFmtId="0" fontId="0" fillId="0" borderId="0" xfId="0" applyFill="1" applyBorder="1" applyAlignment="1">
      <alignment horizontal="left" vertical="center" wrapText="1"/>
    </xf>
    <xf numFmtId="0" fontId="0" fillId="0" borderId="0" xfId="0" applyAlignment="1">
      <alignment horizontal="left"/>
    </xf>
    <xf numFmtId="0" fontId="2" fillId="7" borderId="3" xfId="0" applyFont="1" applyFill="1" applyBorder="1" applyAlignment="1">
      <alignment horizontal="left"/>
    </xf>
    <xf numFmtId="0" fontId="9" fillId="7" borderId="0" xfId="0" applyFont="1" applyFill="1" applyBorder="1" applyAlignment="1">
      <alignment horizontal="center" vertical="center"/>
    </xf>
    <xf numFmtId="0" fontId="2" fillId="7" borderId="10" xfId="0" applyFont="1" applyFill="1" applyBorder="1" applyAlignment="1">
      <alignment horizontal="left" wrapText="1"/>
    </xf>
    <xf numFmtId="0" fontId="5" fillId="7" borderId="3" xfId="0" applyFont="1" applyFill="1" applyBorder="1" applyAlignment="1">
      <alignment horizontal="center" vertical="center" wrapText="1"/>
    </xf>
    <xf numFmtId="0" fontId="0" fillId="9" borderId="3" xfId="0" applyFill="1" applyBorder="1" applyProtection="1">
      <protection locked="0"/>
    </xf>
    <xf numFmtId="0" fontId="0" fillId="0" borderId="3" xfId="0"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6" borderId="0" xfId="0" applyFill="1" applyProtection="1"/>
    <xf numFmtId="9" fontId="0" fillId="6" borderId="0" xfId="1" applyNumberFormat="1" applyFont="1" applyFill="1" applyProtection="1"/>
    <xf numFmtId="0" fontId="0" fillId="0" borderId="0" xfId="0" applyProtection="1"/>
    <xf numFmtId="0" fontId="2" fillId="7" borderId="3" xfId="0" applyFont="1" applyFill="1" applyBorder="1" applyProtection="1"/>
    <xf numFmtId="0" fontId="2" fillId="7" borderId="3" xfId="0" applyFont="1" applyFill="1" applyBorder="1" applyAlignment="1" applyProtection="1">
      <alignment horizontal="center"/>
    </xf>
    <xf numFmtId="0" fontId="0" fillId="0" borderId="3" xfId="0" applyBorder="1" applyProtection="1"/>
    <xf numFmtId="165" fontId="2" fillId="0" borderId="3" xfId="0" applyNumberFormat="1" applyFont="1" applyBorder="1" applyProtection="1"/>
    <xf numFmtId="0" fontId="0" fillId="0" borderId="3" xfId="0" applyBorder="1" applyAlignment="1" applyProtection="1">
      <alignment horizontal="center"/>
    </xf>
    <xf numFmtId="0" fontId="0" fillId="0" borderId="0" xfId="0" applyAlignment="1" applyProtection="1">
      <alignment horizontal="center"/>
    </xf>
    <xf numFmtId="9" fontId="0" fillId="0" borderId="3" xfId="1" applyNumberFormat="1" applyFont="1" applyBorder="1" applyProtection="1"/>
    <xf numFmtId="165" fontId="2" fillId="0" borderId="3" xfId="2" applyNumberFormat="1" applyFont="1" applyBorder="1" applyAlignment="1" applyProtection="1">
      <alignment horizontal="right"/>
    </xf>
    <xf numFmtId="165" fontId="2" fillId="0" borderId="3" xfId="0" applyNumberFormat="1" applyFont="1" applyBorder="1" applyAlignment="1" applyProtection="1">
      <alignment horizontal="center"/>
    </xf>
    <xf numFmtId="165" fontId="2" fillId="0" borderId="3" xfId="0" applyNumberFormat="1" applyFont="1" applyBorder="1" applyAlignment="1" applyProtection="1">
      <alignment horizontal="right"/>
    </xf>
    <xf numFmtId="165" fontId="2" fillId="0" borderId="3" xfId="0" applyNumberFormat="1" applyFont="1" applyBorder="1" applyAlignment="1" applyProtection="1">
      <alignment horizontal="left"/>
    </xf>
    <xf numFmtId="0" fontId="0" fillId="6" borderId="0" xfId="0"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9" fontId="0" fillId="0" borderId="0" xfId="1" applyNumberFormat="1" applyFont="1" applyFill="1" applyBorder="1" applyProtection="1"/>
    <xf numFmtId="2" fontId="0" fillId="0" borderId="0" xfId="0" applyNumberFormat="1" applyFill="1" applyBorder="1" applyProtection="1"/>
    <xf numFmtId="0" fontId="0" fillId="0" borderId="0" xfId="1" applyNumberFormat="1" applyFont="1" applyFill="1" applyBorder="1" applyAlignment="1" applyProtection="1">
      <alignment horizontal="right"/>
    </xf>
    <xf numFmtId="2" fontId="0" fillId="0" borderId="0" xfId="0" applyNumberFormat="1" applyFill="1" applyBorder="1" applyAlignment="1" applyProtection="1">
      <alignment horizontal="right"/>
    </xf>
    <xf numFmtId="0" fontId="3" fillId="0" borderId="0" xfId="0" applyFont="1" applyFill="1" applyBorder="1" applyProtection="1"/>
    <xf numFmtId="0" fontId="0" fillId="0" borderId="0" xfId="0" applyFill="1" applyBorder="1" applyAlignment="1" applyProtection="1"/>
    <xf numFmtId="2" fontId="0" fillId="0" borderId="0" xfId="0" applyNumberFormat="1" applyFill="1" applyBorder="1" applyAlignment="1" applyProtection="1">
      <alignment horizontal="center"/>
    </xf>
    <xf numFmtId="0" fontId="0" fillId="0" borderId="0" xfId="0" applyFill="1" applyBorder="1" applyAlignment="1" applyProtection="1">
      <alignment vertical="center" wrapText="1"/>
    </xf>
    <xf numFmtId="2" fontId="0" fillId="0" borderId="0" xfId="0" applyNumberFormat="1" applyProtection="1"/>
    <xf numFmtId="9" fontId="0" fillId="0" borderId="0" xfId="1" applyNumberFormat="1" applyFont="1" applyProtection="1"/>
    <xf numFmtId="14" fontId="0" fillId="0" borderId="0" xfId="0" applyNumberFormat="1" applyProtection="1"/>
    <xf numFmtId="1" fontId="5" fillId="9" borderId="3" xfId="0" applyNumberFormat="1" applyFont="1" applyFill="1" applyBorder="1" applyProtection="1">
      <protection locked="0"/>
    </xf>
    <xf numFmtId="0" fontId="5" fillId="9" borderId="3" xfId="2" applyNumberFormat="1" applyFont="1" applyFill="1" applyBorder="1" applyAlignment="1" applyProtection="1">
      <alignment horizontal="right"/>
      <protection locked="0"/>
    </xf>
    <xf numFmtId="0" fontId="2" fillId="9" borderId="3" xfId="0" applyFont="1" applyFill="1" applyBorder="1" applyProtection="1">
      <protection locked="0"/>
    </xf>
    <xf numFmtId="0" fontId="5" fillId="9" borderId="3" xfId="0" applyFont="1" applyFill="1" applyBorder="1" applyProtection="1">
      <protection locked="0"/>
    </xf>
    <xf numFmtId="9" fontId="0" fillId="9" borderId="3" xfId="1" applyNumberFormat="1" applyFont="1" applyFill="1" applyBorder="1" applyProtection="1">
      <protection locked="0"/>
    </xf>
    <xf numFmtId="165" fontId="0" fillId="9" borderId="3" xfId="0" applyNumberFormat="1" applyFill="1" applyBorder="1" applyProtection="1">
      <protection locked="0"/>
    </xf>
    <xf numFmtId="165" fontId="0" fillId="9" borderId="3" xfId="0" applyNumberFormat="1" applyFill="1" applyBorder="1" applyAlignment="1" applyProtection="1">
      <alignment horizontal="center"/>
      <protection locked="0"/>
    </xf>
    <xf numFmtId="165" fontId="0" fillId="9" borderId="3" xfId="0" applyNumberFormat="1" applyFill="1" applyBorder="1" applyAlignment="1" applyProtection="1">
      <alignment horizontal="center" vertical="center"/>
      <protection locked="0"/>
    </xf>
    <xf numFmtId="165" fontId="4" fillId="9" borderId="15" xfId="0" applyNumberFormat="1" applyFont="1" applyFill="1" applyBorder="1" applyProtection="1">
      <protection locked="0"/>
    </xf>
    <xf numFmtId="9" fontId="0" fillId="9" borderId="3" xfId="1" applyFont="1" applyFill="1" applyBorder="1" applyProtection="1">
      <protection locked="0"/>
    </xf>
    <xf numFmtId="167" fontId="0" fillId="0" borderId="6" xfId="0" applyNumberFormat="1" applyBorder="1" applyAlignment="1">
      <alignment horizontal="center"/>
    </xf>
    <xf numFmtId="0" fontId="0" fillId="9" borderId="3" xfId="0" applyFill="1" applyBorder="1" applyAlignment="1" applyProtection="1">
      <alignment horizontal="right"/>
      <protection locked="0"/>
    </xf>
    <xf numFmtId="0" fontId="0" fillId="9" borderId="10" xfId="0" applyFill="1" applyBorder="1" applyAlignment="1" applyProtection="1">
      <alignment horizontal="right"/>
      <protection locked="0"/>
    </xf>
    <xf numFmtId="0" fontId="9" fillId="0" borderId="0" xfId="0" applyFont="1" applyFill="1" applyBorder="1" applyAlignment="1">
      <alignment horizontal="center" vertical="center"/>
    </xf>
    <xf numFmtId="2" fontId="5" fillId="0" borderId="0" xfId="0" applyNumberFormat="1" applyFont="1" applyBorder="1" applyAlignment="1">
      <alignment horizontal="left" vertical="center"/>
    </xf>
    <xf numFmtId="0" fontId="5" fillId="0" borderId="0" xfId="0" applyFont="1" applyBorder="1" applyAlignment="1">
      <alignment horizontal="left" vertical="center"/>
    </xf>
    <xf numFmtId="1" fontId="5" fillId="0" borderId="0" xfId="0" applyNumberFormat="1" applyFont="1" applyBorder="1" applyAlignment="1">
      <alignment horizontal="left" vertical="center"/>
    </xf>
    <xf numFmtId="169" fontId="0" fillId="0" borderId="0" xfId="0" applyNumberFormat="1"/>
    <xf numFmtId="165" fontId="6" fillId="0" borderId="3" xfId="0" applyNumberFormat="1" applyFont="1" applyBorder="1"/>
    <xf numFmtId="167" fontId="0" fillId="0" borderId="3" xfId="0" applyNumberFormat="1" applyBorder="1" applyAlignment="1">
      <alignment horizontal="right"/>
    </xf>
    <xf numFmtId="167" fontId="5" fillId="0" borderId="9" xfId="0" applyNumberFormat="1" applyFont="1" applyBorder="1" applyAlignment="1">
      <alignment horizontal="center"/>
    </xf>
    <xf numFmtId="0" fontId="0" fillId="0" borderId="0" xfId="0" applyFill="1" applyAlignment="1"/>
    <xf numFmtId="2" fontId="5" fillId="9" borderId="3" xfId="0" applyNumberFormat="1" applyFont="1" applyFill="1" applyBorder="1" applyAlignment="1" applyProtection="1">
      <alignment horizontal="left"/>
      <protection locked="0"/>
    </xf>
    <xf numFmtId="0" fontId="7" fillId="9" borderId="3" xfId="0" applyFont="1" applyFill="1" applyBorder="1" applyProtection="1">
      <protection locked="0"/>
    </xf>
    <xf numFmtId="2" fontId="7" fillId="9" borderId="3" xfId="0" applyNumberFormat="1" applyFont="1" applyFill="1" applyBorder="1" applyAlignment="1" applyProtection="1">
      <alignment horizontal="left"/>
      <protection locked="0"/>
    </xf>
    <xf numFmtId="0" fontId="7" fillId="9" borderId="3" xfId="0" applyFont="1" applyFill="1" applyBorder="1" applyAlignment="1" applyProtection="1">
      <alignment horizontal="left"/>
      <protection locked="0"/>
    </xf>
    <xf numFmtId="167" fontId="0" fillId="0" borderId="0" xfId="0" applyNumberFormat="1" applyBorder="1"/>
    <xf numFmtId="167" fontId="5" fillId="0" borderId="3" xfId="0" applyNumberFormat="1" applyFont="1" applyBorder="1"/>
    <xf numFmtId="165" fontId="2" fillId="10" borderId="3" xfId="0" applyNumberFormat="1" applyFont="1" applyFill="1" applyBorder="1" applyAlignment="1">
      <alignment wrapText="1"/>
    </xf>
    <xf numFmtId="165" fontId="2" fillId="10" borderId="29" xfId="0" applyNumberFormat="1" applyFont="1" applyFill="1" applyBorder="1" applyAlignment="1">
      <alignment wrapText="1"/>
    </xf>
    <xf numFmtId="165" fontId="2" fillId="10" borderId="0" xfId="0" applyNumberFormat="1" applyFont="1" applyFill="1" applyBorder="1" applyAlignment="1">
      <alignment wrapText="1"/>
    </xf>
    <xf numFmtId="167" fontId="18" fillId="10" borderId="3" xfId="0" applyNumberFormat="1" applyFont="1" applyFill="1" applyBorder="1" applyAlignment="1">
      <alignment horizontal="center" vertical="center"/>
    </xf>
    <xf numFmtId="2" fontId="2" fillId="0" borderId="4" xfId="0" applyNumberFormat="1" applyFont="1" applyBorder="1" applyAlignment="1">
      <alignment horizontal="center" vertical="center"/>
    </xf>
    <xf numFmtId="167" fontId="0" fillId="0" borderId="3" xfId="0" applyNumberFormat="1" applyFill="1" applyBorder="1" applyAlignment="1">
      <alignment horizontal="center"/>
    </xf>
    <xf numFmtId="165" fontId="18" fillId="0" borderId="10" xfId="0" applyNumberFormat="1" applyFont="1" applyFill="1" applyBorder="1" applyAlignment="1">
      <alignment horizontal="center" vertical="center"/>
    </xf>
    <xf numFmtId="0" fontId="4" fillId="9" borderId="27" xfId="0" applyFont="1" applyFill="1" applyBorder="1"/>
    <xf numFmtId="0" fontId="4" fillId="0" borderId="27" xfId="0" applyFont="1" applyBorder="1"/>
    <xf numFmtId="0" fontId="4" fillId="10" borderId="27" xfId="0" applyFont="1" applyFill="1" applyBorder="1"/>
    <xf numFmtId="0" fontId="2" fillId="7" borderId="3" xfId="0" applyFont="1" applyFill="1" applyBorder="1" applyAlignment="1">
      <alignment vertical="center"/>
    </xf>
    <xf numFmtId="0" fontId="9" fillId="7" borderId="29" xfId="0" applyFont="1" applyFill="1" applyBorder="1" applyAlignment="1">
      <alignment vertical="center"/>
    </xf>
    <xf numFmtId="0" fontId="9" fillId="0" borderId="0" xfId="0" applyFont="1" applyFill="1" applyBorder="1" applyAlignment="1">
      <alignment vertical="center"/>
    </xf>
    <xf numFmtId="1" fontId="5" fillId="0" borderId="3" xfId="0" applyNumberFormat="1" applyFont="1" applyBorder="1"/>
    <xf numFmtId="170" fontId="0" fillId="0" borderId="0" xfId="0" applyNumberFormat="1" applyAlignment="1">
      <alignment horizontal="left" wrapText="1"/>
    </xf>
    <xf numFmtId="167" fontId="0" fillId="0" borderId="0" xfId="0" applyNumberFormat="1" applyAlignment="1">
      <alignment horizontal="left" wrapText="1"/>
    </xf>
    <xf numFmtId="166" fontId="0" fillId="0" borderId="3" xfId="1" applyNumberFormat="1" applyFont="1" applyBorder="1"/>
    <xf numFmtId="2" fontId="0" fillId="9" borderId="3" xfId="0" applyNumberFormat="1" applyFill="1" applyBorder="1" applyProtection="1">
      <protection locked="0"/>
    </xf>
    <xf numFmtId="167" fontId="0" fillId="9" borderId="3" xfId="0" applyNumberFormat="1" applyFill="1" applyBorder="1" applyProtection="1">
      <protection locked="0"/>
    </xf>
    <xf numFmtId="170" fontId="0" fillId="0" borderId="3" xfId="0" applyNumberFormat="1" applyBorder="1" applyAlignment="1" applyProtection="1">
      <alignment horizontal="center"/>
      <protection locked="0"/>
    </xf>
    <xf numFmtId="167" fontId="0" fillId="0" borderId="6" xfId="0" applyNumberFormat="1" applyBorder="1" applyAlignment="1" applyProtection="1">
      <alignment horizontal="center"/>
      <protection locked="0"/>
    </xf>
    <xf numFmtId="171" fontId="0" fillId="3" borderId="4" xfId="0" applyNumberFormat="1" applyFill="1" applyBorder="1"/>
    <xf numFmtId="171" fontId="0" fillId="4" borderId="4" xfId="0" applyNumberFormat="1" applyFill="1" applyBorder="1"/>
    <xf numFmtId="171" fontId="0" fillId="3" borderId="3" xfId="0" applyNumberFormat="1" applyFill="1" applyBorder="1"/>
    <xf numFmtId="171" fontId="0" fillId="4" borderId="3" xfId="0" applyNumberFormat="1" applyFill="1" applyBorder="1"/>
    <xf numFmtId="171" fontId="2" fillId="9" borderId="3" xfId="0" applyNumberFormat="1" applyFont="1" applyFill="1" applyBorder="1"/>
    <xf numFmtId="171" fontId="2" fillId="3" borderId="3" xfId="0" applyNumberFormat="1" applyFont="1" applyFill="1" applyBorder="1"/>
    <xf numFmtId="171" fontId="2" fillId="4" borderId="3" xfId="0" applyNumberFormat="1" applyFont="1" applyFill="1" applyBorder="1"/>
    <xf numFmtId="165" fontId="2" fillId="0" borderId="0" xfId="0" applyNumberFormat="1" applyFont="1" applyFill="1" applyBorder="1" applyAlignment="1">
      <alignment vertical="center" wrapText="1"/>
    </xf>
    <xf numFmtId="0" fontId="2" fillId="7" borderId="0" xfId="0" applyFont="1" applyFill="1" applyBorder="1"/>
    <xf numFmtId="165" fontId="0" fillId="0" borderId="0" xfId="0" applyNumberFormat="1" applyFill="1" applyAlignment="1">
      <alignment horizontal="center"/>
    </xf>
    <xf numFmtId="2" fontId="2" fillId="9" borderId="3" xfId="0" applyNumberFormat="1" applyFont="1" applyFill="1" applyBorder="1" applyAlignment="1" applyProtection="1">
      <alignment horizontal="center"/>
      <protection locked="0"/>
    </xf>
    <xf numFmtId="2" fontId="2" fillId="9" borderId="11" xfId="0" applyNumberFormat="1" applyFont="1" applyFill="1" applyBorder="1" applyAlignment="1" applyProtection="1">
      <alignment horizontal="center"/>
      <protection locked="0"/>
    </xf>
    <xf numFmtId="2" fontId="2" fillId="9" borderId="11" xfId="0" applyNumberFormat="1" applyFont="1" applyFill="1" applyBorder="1" applyProtection="1">
      <protection locked="0"/>
    </xf>
    <xf numFmtId="1" fontId="18" fillId="9" borderId="3" xfId="0" applyNumberFormat="1" applyFont="1" applyFill="1" applyBorder="1" applyAlignment="1" applyProtection="1">
      <alignment horizontal="center" vertical="center"/>
      <protection locked="0"/>
    </xf>
    <xf numFmtId="0" fontId="2" fillId="9" borderId="3" xfId="0" applyFont="1" applyFill="1" applyBorder="1" applyAlignment="1" applyProtection="1">
      <alignment horizontal="right"/>
      <protection locked="0"/>
    </xf>
    <xf numFmtId="2" fontId="2" fillId="9" borderId="3" xfId="0" applyNumberFormat="1" applyFont="1" applyFill="1" applyBorder="1" applyProtection="1">
      <protection locked="0"/>
    </xf>
    <xf numFmtId="2" fontId="2" fillId="9" borderId="14" xfId="0" applyNumberFormat="1" applyFont="1" applyFill="1" applyBorder="1" applyProtection="1">
      <protection locked="0"/>
    </xf>
    <xf numFmtId="1" fontId="0" fillId="9" borderId="3" xfId="0" applyNumberFormat="1" applyFill="1" applyBorder="1" applyProtection="1">
      <protection locked="0"/>
    </xf>
    <xf numFmtId="0" fontId="0" fillId="9" borderId="10" xfId="0" applyFill="1" applyBorder="1" applyAlignment="1" applyProtection="1">
      <alignment vertical="center"/>
      <protection locked="0"/>
    </xf>
    <xf numFmtId="0" fontId="7" fillId="9" borderId="3" xfId="0" applyFont="1" applyFill="1" applyBorder="1" applyAlignment="1" applyProtection="1">
      <alignment horizontal="center" vertical="center"/>
      <protection locked="0"/>
    </xf>
    <xf numFmtId="2" fontId="0" fillId="9" borderId="3" xfId="0" applyNumberFormat="1" applyFill="1" applyBorder="1" applyAlignment="1" applyProtection="1">
      <alignment horizontal="center"/>
      <protection locked="0"/>
    </xf>
    <xf numFmtId="1" fontId="0" fillId="9" borderId="3" xfId="0" applyNumberFormat="1" applyFill="1" applyBorder="1" applyAlignment="1" applyProtection="1">
      <alignment horizontal="center"/>
      <protection locked="0"/>
    </xf>
    <xf numFmtId="0" fontId="7" fillId="12" borderId="3" xfId="0" applyFont="1" applyFill="1" applyBorder="1" applyAlignment="1" applyProtection="1">
      <alignment horizontal="center" vertical="center"/>
    </xf>
    <xf numFmtId="0" fontId="0" fillId="9" borderId="3" xfId="0" applyFill="1" applyBorder="1" applyAlignment="1" applyProtection="1">
      <protection locked="0"/>
    </xf>
    <xf numFmtId="0" fontId="0" fillId="11" borderId="3" xfId="0" applyFill="1" applyBorder="1" applyProtection="1">
      <protection locked="0"/>
    </xf>
    <xf numFmtId="0" fontId="0" fillId="9" borderId="3" xfId="0" applyNumberFormat="1" applyFill="1" applyBorder="1" applyProtection="1">
      <protection locked="0"/>
    </xf>
    <xf numFmtId="0" fontId="0" fillId="9" borderId="4" xfId="0" applyFill="1" applyBorder="1" applyProtection="1">
      <protection locked="0"/>
    </xf>
    <xf numFmtId="171" fontId="0" fillId="9" borderId="4" xfId="0" applyNumberFormat="1" applyFill="1" applyBorder="1" applyProtection="1">
      <protection locked="0"/>
    </xf>
    <xf numFmtId="171" fontId="0" fillId="9" borderId="3" xfId="0" applyNumberFormat="1" applyFill="1" applyBorder="1" applyProtection="1">
      <protection locked="0"/>
    </xf>
    <xf numFmtId="0" fontId="0" fillId="9" borderId="3" xfId="0" applyFill="1" applyBorder="1" applyAlignment="1" applyProtection="1">
      <alignment horizontal="right" vertical="center"/>
      <protection locked="0"/>
    </xf>
    <xf numFmtId="171" fontId="0" fillId="9" borderId="3" xfId="0" applyNumberFormat="1" applyFill="1" applyBorder="1" applyAlignment="1" applyProtection="1">
      <alignment horizontal="right" vertical="center"/>
      <protection locked="0"/>
    </xf>
    <xf numFmtId="0" fontId="14" fillId="7" borderId="3" xfId="0" applyFont="1" applyFill="1" applyBorder="1" applyAlignment="1">
      <alignment horizontal="center"/>
    </xf>
    <xf numFmtId="0" fontId="2" fillId="7" borderId="3" xfId="0" applyFont="1" applyFill="1" applyBorder="1" applyAlignment="1">
      <alignment horizontal="center"/>
    </xf>
    <xf numFmtId="0" fontId="4" fillId="0" borderId="0" xfId="0" applyFont="1" applyAlignment="1">
      <alignment horizontal="left"/>
    </xf>
    <xf numFmtId="0" fontId="0" fillId="0" borderId="13" xfId="0" applyBorder="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4" fillId="0" borderId="21" xfId="0" applyFont="1" applyBorder="1" applyAlignment="1">
      <alignment horizontal="left"/>
    </xf>
    <xf numFmtId="0" fontId="16" fillId="0" borderId="0" xfId="0" applyFont="1" applyBorder="1" applyAlignment="1">
      <alignment horizontal="left"/>
    </xf>
    <xf numFmtId="0" fontId="4" fillId="0" borderId="0" xfId="0" applyFont="1" applyBorder="1" applyAlignment="1">
      <alignment horizontal="left"/>
    </xf>
    <xf numFmtId="0" fontId="4" fillId="0" borderId="3" xfId="0" applyFont="1" applyBorder="1" applyAlignment="1">
      <alignment horizontal="center"/>
    </xf>
    <xf numFmtId="0" fontId="4" fillId="0" borderId="21" xfId="0" applyFont="1" applyBorder="1" applyAlignment="1">
      <alignment horizontal="center"/>
    </xf>
    <xf numFmtId="9" fontId="0" fillId="0" borderId="0" xfId="1" applyNumberFormat="1" applyFont="1" applyFill="1" applyBorder="1" applyAlignment="1" applyProtection="1">
      <alignment horizontal="left" wrapText="1"/>
    </xf>
    <xf numFmtId="0" fontId="0" fillId="0" borderId="0" xfId="0" applyFill="1" applyBorder="1" applyAlignment="1" applyProtection="1">
      <alignment horizontal="right" vertic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0" fontId="0" fillId="0" borderId="0" xfId="0" applyFill="1" applyAlignment="1" applyProtection="1">
      <alignment horizontal="center"/>
    </xf>
    <xf numFmtId="0" fontId="0" fillId="0" borderId="13" xfId="0" applyFill="1" applyBorder="1" applyAlignment="1" applyProtection="1">
      <alignment horizontal="center"/>
    </xf>
    <xf numFmtId="0" fontId="4" fillId="0" borderId="0" xfId="0" applyFont="1" applyFill="1" applyAlignment="1" applyProtection="1">
      <alignment horizontal="center"/>
    </xf>
    <xf numFmtId="0" fontId="0" fillId="0" borderId="28" xfId="0" applyFill="1" applyBorder="1" applyAlignment="1" applyProtection="1">
      <alignment horizontal="center"/>
    </xf>
    <xf numFmtId="0" fontId="0" fillId="0" borderId="0" xfId="0" applyFill="1" applyBorder="1" applyAlignment="1" applyProtection="1">
      <alignment horizontal="center"/>
    </xf>
    <xf numFmtId="0" fontId="0" fillId="0" borderId="14" xfId="0" applyFill="1" applyBorder="1" applyAlignment="1" applyProtection="1">
      <alignment horizontal="center"/>
    </xf>
    <xf numFmtId="0" fontId="9" fillId="7" borderId="3" xfId="0" applyFont="1" applyFill="1" applyBorder="1" applyAlignment="1">
      <alignment horizontal="center" vertical="center"/>
    </xf>
    <xf numFmtId="0" fontId="9" fillId="7" borderId="10" xfId="0" applyFont="1" applyFill="1" applyBorder="1" applyAlignment="1">
      <alignment horizontal="center" vertical="center"/>
    </xf>
    <xf numFmtId="0" fontId="2" fillId="7" borderId="3" xfId="0" applyFont="1" applyFill="1" applyBorder="1" applyAlignment="1">
      <alignment horizontal="center" vertical="center"/>
    </xf>
    <xf numFmtId="0" fontId="0" fillId="6" borderId="0" xfId="0" applyFill="1" applyAlignment="1">
      <alignment horizontal="center"/>
    </xf>
    <xf numFmtId="0" fontId="0" fillId="6" borderId="13" xfId="0" applyFill="1" applyBorder="1" applyAlignment="1">
      <alignment horizontal="center"/>
    </xf>
    <xf numFmtId="165" fontId="2" fillId="7" borderId="20" xfId="0" applyNumberFormat="1" applyFont="1" applyFill="1" applyBorder="1" applyAlignment="1">
      <alignment horizontal="center" vertical="center"/>
    </xf>
    <xf numFmtId="165" fontId="2" fillId="7" borderId="18" xfId="0" applyNumberFormat="1" applyFont="1" applyFill="1" applyBorder="1" applyAlignment="1">
      <alignment horizontal="center" vertical="center"/>
    </xf>
    <xf numFmtId="165" fontId="2" fillId="7" borderId="19" xfId="0" applyNumberFormat="1" applyFont="1" applyFill="1" applyBorder="1" applyAlignment="1">
      <alignment horizontal="center" vertical="center"/>
    </xf>
    <xf numFmtId="0" fontId="2" fillId="7" borderId="3" xfId="0" applyFont="1" applyFill="1" applyBorder="1" applyAlignment="1">
      <alignment horizontal="center" wrapText="1"/>
    </xf>
    <xf numFmtId="2" fontId="0" fillId="0" borderId="0" xfId="0" applyNumberFormat="1" applyAlignment="1">
      <alignment horizontal="center"/>
    </xf>
    <xf numFmtId="165" fontId="2" fillId="7" borderId="17" xfId="1" applyNumberFormat="1" applyFont="1" applyFill="1" applyBorder="1" applyAlignment="1">
      <alignment horizontal="left"/>
    </xf>
    <xf numFmtId="165" fontId="2" fillId="7" borderId="15" xfId="1" applyNumberFormat="1" applyFont="1" applyFill="1" applyBorder="1" applyAlignment="1">
      <alignment horizontal="left"/>
    </xf>
    <xf numFmtId="0" fontId="2" fillId="7" borderId="4" xfId="0" applyFont="1" applyFill="1" applyBorder="1" applyAlignment="1">
      <alignment horizontal="center" wrapText="1"/>
    </xf>
    <xf numFmtId="0" fontId="8" fillId="7" borderId="25" xfId="0" applyFont="1" applyFill="1" applyBorder="1" applyAlignment="1">
      <alignment horizontal="center"/>
    </xf>
    <xf numFmtId="0" fontId="8" fillId="7" borderId="13" xfId="0" applyFont="1" applyFill="1" applyBorder="1" applyAlignment="1">
      <alignment horizontal="center"/>
    </xf>
    <xf numFmtId="0" fontId="8" fillId="7" borderId="26" xfId="0" applyFont="1" applyFill="1" applyBorder="1" applyAlignment="1">
      <alignment horizontal="center"/>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2" xfId="0" applyFont="1" applyFill="1" applyBorder="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2" fontId="2" fillId="0" borderId="3" xfId="0" applyNumberFormat="1" applyFont="1" applyBorder="1" applyAlignment="1">
      <alignment horizontal="center" vertical="center"/>
    </xf>
    <xf numFmtId="165" fontId="2" fillId="10" borderId="3" xfId="0" applyNumberFormat="1" applyFont="1" applyFill="1" applyBorder="1" applyAlignment="1">
      <alignment horizontal="left" vertical="center" wrapText="1"/>
    </xf>
    <xf numFmtId="167" fontId="18" fillId="0" borderId="3" xfId="0" applyNumberFormat="1" applyFont="1" applyFill="1" applyBorder="1" applyAlignment="1">
      <alignment horizontal="center" vertical="center"/>
    </xf>
    <xf numFmtId="165" fontId="2" fillId="10" borderId="3" xfId="0" applyNumberFormat="1" applyFont="1" applyFill="1" applyBorder="1" applyAlignment="1">
      <alignment horizontal="left" wrapText="1"/>
    </xf>
    <xf numFmtId="2" fontId="0" fillId="6" borderId="0" xfId="0" applyNumberFormat="1" applyFill="1" applyAlignment="1">
      <alignment horizontal="center" vertical="center"/>
    </xf>
    <xf numFmtId="0" fontId="2" fillId="7" borderId="3" xfId="0" applyFont="1" applyFill="1" applyBorder="1" applyAlignment="1">
      <alignment horizontal="left"/>
    </xf>
    <xf numFmtId="0" fontId="2" fillId="7" borderId="10" xfId="0" applyFont="1" applyFill="1" applyBorder="1" applyAlignment="1">
      <alignment horizontal="left" wrapText="1"/>
    </xf>
    <xf numFmtId="0" fontId="2" fillId="7" borderId="3" xfId="0" applyFont="1" applyFill="1" applyBorder="1" applyAlignment="1">
      <alignment horizontal="left" wrapText="1"/>
    </xf>
    <xf numFmtId="0" fontId="0" fillId="0" borderId="29" xfId="0" applyFill="1" applyBorder="1" applyAlignment="1">
      <alignment horizontal="center"/>
    </xf>
    <xf numFmtId="0" fontId="0" fillId="0" borderId="30" xfId="0" applyFill="1" applyBorder="1" applyAlignment="1">
      <alignment horizontal="center"/>
    </xf>
    <xf numFmtId="0" fontId="0" fillId="0" borderId="0" xfId="0" applyFill="1" applyAlignment="1">
      <alignment horizontal="center"/>
    </xf>
    <xf numFmtId="0" fontId="0" fillId="0" borderId="31" xfId="0" applyFill="1" applyBorder="1" applyAlignment="1">
      <alignment horizontal="center"/>
    </xf>
    <xf numFmtId="0" fontId="2" fillId="7" borderId="11" xfId="0" applyFont="1" applyFill="1" applyBorder="1" applyAlignment="1">
      <alignment horizontal="center"/>
    </xf>
    <xf numFmtId="0" fontId="0" fillId="0" borderId="21" xfId="0" applyFill="1" applyBorder="1" applyAlignment="1">
      <alignment horizontal="center"/>
    </xf>
    <xf numFmtId="0" fontId="0" fillId="0" borderId="4" xfId="0" applyFill="1" applyBorder="1" applyAlignment="1">
      <alignment horizontal="center"/>
    </xf>
    <xf numFmtId="0" fontId="2" fillId="7" borderId="1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4" xfId="0" applyFont="1" applyFill="1" applyBorder="1" applyAlignment="1">
      <alignment horizontal="center" vertical="center"/>
    </xf>
    <xf numFmtId="165" fontId="2" fillId="8" borderId="3" xfId="0" applyNumberFormat="1" applyFont="1" applyFill="1" applyBorder="1" applyAlignment="1">
      <alignment horizontal="center" vertical="center" wrapText="1"/>
    </xf>
    <xf numFmtId="0" fontId="0" fillId="0" borderId="14" xfId="0" applyFill="1" applyBorder="1" applyAlignment="1">
      <alignment horizontal="center"/>
    </xf>
    <xf numFmtId="165" fontId="2" fillId="0" borderId="13"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3" fillId="10" borderId="3" xfId="0" applyNumberFormat="1" applyFont="1" applyFill="1" applyBorder="1" applyAlignment="1">
      <alignment horizontal="center" vertical="center"/>
    </xf>
    <xf numFmtId="165" fontId="17" fillId="10" borderId="3" xfId="0" applyNumberFormat="1" applyFont="1" applyFill="1" applyBorder="1" applyAlignment="1">
      <alignment horizontal="center" vertical="center"/>
    </xf>
    <xf numFmtId="0" fontId="0" fillId="0" borderId="3" xfId="0" applyNumberFormat="1" applyBorder="1" applyAlignment="1">
      <alignment horizontal="center"/>
    </xf>
    <xf numFmtId="0" fontId="2" fillId="7" borderId="4" xfId="0" applyFont="1" applyFill="1" applyBorder="1" applyAlignment="1">
      <alignment horizontal="left" vertical="center" wrapText="1"/>
    </xf>
    <xf numFmtId="0" fontId="0" fillId="0" borderId="0" xfId="0" applyFill="1" applyBorder="1" applyAlignment="1">
      <alignment horizontal="center"/>
    </xf>
    <xf numFmtId="0" fontId="2" fillId="7" borderId="3" xfId="0" applyFont="1" applyFill="1" applyBorder="1" applyAlignment="1">
      <alignment horizontal="center" vertical="center" wrapText="1"/>
    </xf>
    <xf numFmtId="0" fontId="2" fillId="7" borderId="10" xfId="0" applyFont="1" applyFill="1" applyBorder="1" applyAlignment="1">
      <alignment horizontal="center" vertical="center" wrapText="1"/>
    </xf>
    <xf numFmtId="2" fontId="18" fillId="0" borderId="3" xfId="0" applyNumberFormat="1" applyFont="1" applyBorder="1" applyAlignment="1">
      <alignment horizontal="center" vertical="center"/>
    </xf>
    <xf numFmtId="2" fontId="18" fillId="0" borderId="10" xfId="0" applyNumberFormat="1" applyFont="1" applyBorder="1" applyAlignment="1">
      <alignment horizontal="center" vertical="center"/>
    </xf>
    <xf numFmtId="0" fontId="2" fillId="0" borderId="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0" fillId="0" borderId="13" xfId="0" applyFill="1" applyBorder="1" applyAlignment="1">
      <alignment horizontal="center"/>
    </xf>
    <xf numFmtId="165" fontId="0" fillId="10" borderId="11" xfId="0" applyNumberFormat="1" applyFill="1" applyBorder="1" applyAlignment="1">
      <alignment horizontal="left"/>
    </xf>
    <xf numFmtId="165" fontId="0" fillId="10" borderId="14" xfId="0" applyNumberFormat="1" applyFill="1" applyBorder="1" applyAlignment="1">
      <alignment horizontal="left"/>
    </xf>
    <xf numFmtId="165" fontId="0" fillId="10" borderId="12" xfId="0" applyNumberFormat="1" applyFill="1" applyBorder="1" applyAlignment="1">
      <alignment horizontal="left"/>
    </xf>
    <xf numFmtId="9" fontId="0" fillId="0" borderId="0" xfId="1" applyNumberFormat="1" applyFont="1" applyFill="1" applyAlignment="1">
      <alignment horizontal="center" vertical="center" wrapText="1"/>
    </xf>
    <xf numFmtId="0" fontId="5" fillId="7" borderId="3" xfId="0" applyFont="1" applyFill="1" applyBorder="1" applyAlignment="1">
      <alignment horizontal="center" vertical="center"/>
    </xf>
    <xf numFmtId="0" fontId="5" fillId="7" borderId="3" xfId="0" applyFont="1" applyFill="1" applyBorder="1" applyAlignment="1">
      <alignment horizontal="center" wrapText="1"/>
    </xf>
    <xf numFmtId="0" fontId="0" fillId="0" borderId="0" xfId="0" applyFill="1" applyBorder="1" applyAlignment="1">
      <alignment horizontal="center" vertical="center" wrapText="1"/>
    </xf>
    <xf numFmtId="0" fontId="0" fillId="0" borderId="28" xfId="0" applyFill="1" applyBorder="1" applyAlignment="1">
      <alignment horizontal="center"/>
    </xf>
    <xf numFmtId="0" fontId="2" fillId="7" borderId="3" xfId="0" applyFont="1" applyFill="1" applyBorder="1" applyAlignment="1">
      <alignment horizontal="left" vertical="center" wrapText="1"/>
    </xf>
    <xf numFmtId="0" fontId="18" fillId="0" borderId="3" xfId="0" applyFont="1" applyBorder="1" applyAlignment="1">
      <alignment horizontal="center" vertical="center"/>
    </xf>
    <xf numFmtId="167" fontId="18" fillId="10" borderId="3" xfId="0" applyNumberFormat="1" applyFont="1" applyFill="1" applyBorder="1" applyAlignment="1">
      <alignment horizontal="center" vertical="center"/>
    </xf>
    <xf numFmtId="167" fontId="18" fillId="10" borderId="10" xfId="0" applyNumberFormat="1" applyFont="1" applyFill="1" applyBorder="1" applyAlignment="1">
      <alignment horizontal="center" vertical="center"/>
    </xf>
    <xf numFmtId="165" fontId="2" fillId="10" borderId="29" xfId="0" applyNumberFormat="1" applyFont="1" applyFill="1" applyBorder="1" applyAlignment="1">
      <alignment horizontal="left" wrapText="1"/>
    </xf>
    <xf numFmtId="165" fontId="2" fillId="10" borderId="0" xfId="0" applyNumberFormat="1" applyFont="1" applyFill="1" applyBorder="1" applyAlignment="1">
      <alignment horizontal="left" wrapText="1"/>
    </xf>
    <xf numFmtId="1" fontId="2" fillId="0" borderId="3" xfId="0" applyNumberFormat="1" applyFont="1" applyBorder="1" applyAlignment="1">
      <alignment horizontal="center" vertical="center"/>
    </xf>
    <xf numFmtId="165" fontId="0" fillId="10" borderId="3" xfId="0" applyNumberFormat="1" applyFill="1" applyBorder="1" applyAlignment="1">
      <alignment horizontal="center"/>
    </xf>
    <xf numFmtId="165" fontId="0" fillId="10" borderId="3" xfId="0" applyNumberFormat="1" applyFill="1" applyBorder="1" applyAlignment="1">
      <alignment horizontal="left" vertical="center" wrapText="1"/>
    </xf>
    <xf numFmtId="165" fontId="2" fillId="0" borderId="0" xfId="0" applyNumberFormat="1" applyFont="1" applyFill="1" applyBorder="1" applyAlignment="1">
      <alignment horizontal="center" vertical="center"/>
    </xf>
    <xf numFmtId="0" fontId="9" fillId="0" borderId="29" xfId="0" applyFont="1" applyFill="1" applyBorder="1" applyAlignment="1">
      <alignment horizontal="center" vertical="center"/>
    </xf>
    <xf numFmtId="165" fontId="2" fillId="7" borderId="3" xfId="0" applyNumberFormat="1" applyFont="1" applyFill="1" applyBorder="1" applyAlignment="1">
      <alignment horizontal="center" vertical="center" wrapText="1"/>
    </xf>
    <xf numFmtId="165" fontId="2" fillId="10" borderId="3" xfId="0" applyNumberFormat="1" applyFont="1" applyFill="1" applyBorder="1" applyAlignment="1">
      <alignment horizontal="center" vertical="center"/>
    </xf>
    <xf numFmtId="0" fontId="2" fillId="8" borderId="3" xfId="0" applyFont="1" applyFill="1" applyBorder="1" applyAlignment="1">
      <alignment horizontal="center"/>
    </xf>
    <xf numFmtId="165" fontId="0" fillId="0" borderId="29" xfId="0" applyNumberFormat="1" applyFill="1" applyBorder="1" applyAlignment="1">
      <alignment horizontal="center"/>
    </xf>
    <xf numFmtId="165" fontId="0" fillId="0" borderId="0" xfId="0" applyNumberFormat="1" applyFill="1" applyAlignment="1">
      <alignment horizontal="center"/>
    </xf>
    <xf numFmtId="165" fontId="0" fillId="0" borderId="13" xfId="0" applyNumberFormat="1" applyFill="1" applyBorder="1" applyAlignment="1">
      <alignment horizontal="center"/>
    </xf>
    <xf numFmtId="165" fontId="0" fillId="0" borderId="11" xfId="0" applyNumberFormat="1" applyFill="1" applyBorder="1" applyAlignment="1">
      <alignment horizontal="center"/>
    </xf>
    <xf numFmtId="165" fontId="0" fillId="0" borderId="14" xfId="0" applyNumberFormat="1" applyFill="1" applyBorder="1" applyAlignment="1">
      <alignment horizontal="center"/>
    </xf>
    <xf numFmtId="165" fontId="0" fillId="10" borderId="3" xfId="0" applyNumberFormat="1" applyFill="1" applyBorder="1" applyAlignment="1" applyProtection="1">
      <alignment horizontal="center"/>
    </xf>
    <xf numFmtId="165" fontId="0" fillId="10" borderId="3" xfId="0" applyNumberFormat="1" applyFill="1" applyBorder="1" applyAlignment="1" applyProtection="1">
      <alignment horizontal="center" wrapText="1"/>
    </xf>
    <xf numFmtId="0" fontId="0" fillId="11" borderId="3" xfId="0" applyFill="1" applyBorder="1" applyAlignment="1" applyProtection="1">
      <alignment horizontal="center" vertical="center" wrapText="1"/>
      <protection locked="0"/>
    </xf>
    <xf numFmtId="0" fontId="2" fillId="7" borderId="11" xfId="0" applyFont="1" applyFill="1" applyBorder="1" applyAlignment="1">
      <alignment horizontal="left"/>
    </xf>
    <xf numFmtId="0" fontId="2" fillId="7" borderId="14" xfId="0" applyFont="1" applyFill="1" applyBorder="1" applyAlignment="1">
      <alignment horizontal="left"/>
    </xf>
    <xf numFmtId="0" fontId="2" fillId="7" borderId="12" xfId="0" applyFont="1" applyFill="1" applyBorder="1" applyAlignment="1">
      <alignment horizontal="left"/>
    </xf>
    <xf numFmtId="165" fontId="5" fillId="0" borderId="3" xfId="0" applyNumberFormat="1" applyFont="1" applyBorder="1" applyAlignment="1">
      <alignment horizontal="center"/>
    </xf>
    <xf numFmtId="9" fontId="2" fillId="7" borderId="3" xfId="1" applyNumberFormat="1" applyFont="1" applyFill="1" applyBorder="1" applyAlignment="1">
      <alignment horizontal="center"/>
    </xf>
    <xf numFmtId="165" fontId="11" fillId="10" borderId="0" xfId="0" applyNumberFormat="1" applyFont="1" applyFill="1" applyAlignment="1">
      <alignment horizontal="center" vertical="center"/>
    </xf>
    <xf numFmtId="165" fontId="13" fillId="7" borderId="0" xfId="0" applyNumberFormat="1" applyFont="1" applyFill="1" applyAlignment="1">
      <alignment horizontal="center" vertical="center" wrapText="1"/>
    </xf>
    <xf numFmtId="165" fontId="11" fillId="0" borderId="0" xfId="0" applyNumberFormat="1" applyFont="1" applyFill="1" applyAlignment="1">
      <alignment horizontal="center" vertical="center"/>
    </xf>
    <xf numFmtId="2" fontId="0" fillId="0" borderId="14" xfId="0" applyNumberFormat="1" applyFill="1" applyBorder="1" applyAlignment="1">
      <alignment horizontal="center"/>
    </xf>
    <xf numFmtId="165" fontId="2" fillId="7" borderId="3" xfId="0" applyNumberFormat="1" applyFont="1" applyFill="1" applyBorder="1" applyAlignment="1">
      <alignment horizontal="center"/>
    </xf>
    <xf numFmtId="165" fontId="2" fillId="7" borderId="3" xfId="0" applyNumberFormat="1" applyFont="1" applyFill="1" applyBorder="1" applyAlignment="1">
      <alignment horizontal="left" wrapText="1"/>
    </xf>
    <xf numFmtId="165" fontId="0" fillId="0" borderId="3" xfId="0" applyNumberFormat="1" applyBorder="1" applyAlignment="1">
      <alignment horizontal="right"/>
    </xf>
    <xf numFmtId="0" fontId="0" fillId="0" borderId="0" xfId="0" applyAlignment="1">
      <alignment horizontal="left" wrapText="1"/>
    </xf>
    <xf numFmtId="0" fontId="0" fillId="0" borderId="32" xfId="0" applyFill="1" applyBorder="1" applyAlignment="1">
      <alignment horizontal="center"/>
    </xf>
  </cellXfs>
  <cellStyles count="3">
    <cellStyle name="Currency" xfId="2" builtinId="4"/>
    <cellStyle name="Normal" xfId="0" builtinId="0"/>
    <cellStyle name="Percent" xfId="1"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theme="9"/>
      </font>
      <fill>
        <patternFill>
          <bgColor theme="0"/>
        </patternFill>
      </fill>
      <border>
        <left style="thin">
          <color auto="1"/>
        </left>
        <right style="thin">
          <color auto="1"/>
        </right>
        <top style="thin">
          <color auto="1"/>
        </top>
        <bottom style="thin">
          <color auto="1"/>
        </bottom>
      </border>
    </dxf>
    <dxf>
      <font>
        <color auto="1"/>
      </font>
      <fill>
        <patternFill>
          <bgColor rgb="FFFF0000"/>
        </patternFill>
      </fill>
    </dxf>
    <dxf>
      <font>
        <color theme="9"/>
      </font>
      <fill>
        <patternFill>
          <bgColor theme="0"/>
        </patternFill>
      </fill>
    </dxf>
    <dxf>
      <font>
        <color auto="1"/>
      </font>
      <fill>
        <patternFill>
          <bgColor theme="1" tint="0.499984740745262"/>
        </patternFill>
      </fill>
    </dxf>
    <dxf>
      <font>
        <color auto="1"/>
      </font>
      <fill>
        <patternFill>
          <bgColor theme="1" tint="0.499984740745262"/>
        </patternFill>
      </fill>
    </dxf>
    <dxf>
      <font>
        <color theme="1" tint="0.499984740745262"/>
      </font>
      <fill>
        <patternFill>
          <bgColor rgb="FFFFC7CE"/>
        </patternFill>
      </fill>
    </dxf>
    <dxf>
      <font>
        <color auto="1"/>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918B-DB2C-4F59-B88A-5C88EF6D606C}">
  <dimension ref="A1:M29"/>
  <sheetViews>
    <sheetView zoomScale="85" zoomScaleNormal="85" workbookViewId="0">
      <selection sqref="A1:XFD1048576"/>
    </sheetView>
  </sheetViews>
  <sheetFormatPr defaultRowHeight="15" x14ac:dyDescent="0.25"/>
  <cols>
    <col min="1" max="1" width="2.7109375" style="32" customWidth="1"/>
    <col min="3" max="3" width="8.7109375" customWidth="1"/>
    <col min="5" max="5" width="9.85546875" customWidth="1"/>
    <col min="11" max="11" width="15" customWidth="1"/>
    <col min="12" max="12" width="18.28515625" customWidth="1"/>
    <col min="13" max="13" width="2.7109375" customWidth="1"/>
  </cols>
  <sheetData>
    <row r="1" spans="1:13" s="32" customFormat="1" x14ac:dyDescent="0.25">
      <c r="A1" s="60"/>
      <c r="B1" s="60"/>
      <c r="C1" s="60"/>
      <c r="D1" s="60"/>
      <c r="E1" s="60"/>
      <c r="F1" s="60"/>
      <c r="G1" s="60"/>
      <c r="H1" s="60"/>
      <c r="I1" s="60"/>
      <c r="J1" s="60"/>
      <c r="K1" s="60"/>
      <c r="L1" s="60"/>
      <c r="M1" s="60"/>
    </row>
    <row r="2" spans="1:13" ht="15" customHeight="1" x14ac:dyDescent="0.25">
      <c r="A2" s="60"/>
      <c r="B2" s="251" t="s">
        <v>218</v>
      </c>
      <c r="C2" s="251"/>
      <c r="D2" s="251"/>
      <c r="E2" s="251"/>
      <c r="F2" s="251"/>
      <c r="G2" s="251"/>
      <c r="H2" s="251"/>
      <c r="I2" s="251"/>
      <c r="J2" s="251"/>
      <c r="K2" s="251"/>
      <c r="L2" s="251"/>
      <c r="M2" s="60"/>
    </row>
    <row r="3" spans="1:13" ht="15" customHeight="1" x14ac:dyDescent="0.25">
      <c r="A3" s="60"/>
      <c r="B3" s="251"/>
      <c r="C3" s="251"/>
      <c r="D3" s="251"/>
      <c r="E3" s="251"/>
      <c r="F3" s="251"/>
      <c r="G3" s="251"/>
      <c r="H3" s="251"/>
      <c r="I3" s="251"/>
      <c r="J3" s="251"/>
      <c r="K3" s="251"/>
      <c r="L3" s="251"/>
      <c r="M3" s="60"/>
    </row>
    <row r="4" spans="1:13" ht="15.75" x14ac:dyDescent="0.25">
      <c r="A4" s="60"/>
      <c r="B4" s="253" t="s">
        <v>209</v>
      </c>
      <c r="C4" s="253"/>
      <c r="D4" s="253"/>
      <c r="E4" s="253"/>
      <c r="F4" s="253"/>
      <c r="G4" s="253"/>
      <c r="H4" s="253"/>
      <c r="I4" s="253"/>
      <c r="J4" s="253"/>
      <c r="K4" s="253"/>
      <c r="L4" s="253"/>
      <c r="M4" s="60"/>
    </row>
    <row r="5" spans="1:13" ht="15.75" x14ac:dyDescent="0.25">
      <c r="A5" s="60"/>
      <c r="B5" s="253" t="s">
        <v>210</v>
      </c>
      <c r="C5" s="253"/>
      <c r="D5" s="253"/>
      <c r="E5" s="253"/>
      <c r="F5" s="253"/>
      <c r="G5" s="253"/>
      <c r="H5" s="253"/>
      <c r="I5" s="253"/>
      <c r="J5" s="253"/>
      <c r="K5" s="253"/>
      <c r="L5" s="253"/>
      <c r="M5" s="60"/>
    </row>
    <row r="6" spans="1:13" ht="15.75" thickBot="1" x14ac:dyDescent="0.3">
      <c r="A6" s="60"/>
      <c r="B6" s="255"/>
      <c r="C6" s="255"/>
      <c r="D6" s="255"/>
      <c r="E6" s="255"/>
      <c r="F6" s="255"/>
      <c r="G6" s="255"/>
      <c r="H6" s="255"/>
      <c r="I6" s="255"/>
      <c r="J6" s="255"/>
      <c r="K6" s="255"/>
      <c r="L6" s="255"/>
      <c r="M6" s="60"/>
    </row>
    <row r="7" spans="1:13" ht="16.5" thickBot="1" x14ac:dyDescent="0.3">
      <c r="A7" s="60"/>
      <c r="B7" s="258" t="s">
        <v>211</v>
      </c>
      <c r="C7" s="259"/>
      <c r="D7" s="206"/>
      <c r="E7" s="260" t="s">
        <v>213</v>
      </c>
      <c r="F7" s="258"/>
      <c r="G7" s="258"/>
      <c r="H7" s="258"/>
      <c r="I7" s="258"/>
      <c r="J7" s="258"/>
      <c r="K7" s="258"/>
      <c r="L7" s="255"/>
      <c r="M7" s="60"/>
    </row>
    <row r="8" spans="1:13" ht="16.5" thickBot="1" x14ac:dyDescent="0.3">
      <c r="A8" s="60"/>
      <c r="B8" s="258" t="s">
        <v>212</v>
      </c>
      <c r="C8" s="258"/>
      <c r="D8" s="263"/>
      <c r="E8" s="258"/>
      <c r="F8" s="258"/>
      <c r="G8" s="258"/>
      <c r="H8" s="258"/>
      <c r="I8" s="258"/>
      <c r="J8" s="258"/>
      <c r="K8" s="258"/>
      <c r="L8" s="255"/>
      <c r="M8" s="60"/>
    </row>
    <row r="9" spans="1:13" ht="16.5" thickBot="1" x14ac:dyDescent="0.3">
      <c r="A9" s="60"/>
      <c r="B9" s="258" t="s">
        <v>211</v>
      </c>
      <c r="C9" s="259"/>
      <c r="D9" s="207"/>
      <c r="E9" s="260" t="s">
        <v>214</v>
      </c>
      <c r="F9" s="258"/>
      <c r="G9" s="258"/>
      <c r="H9" s="258"/>
      <c r="I9" s="258"/>
      <c r="J9" s="258"/>
      <c r="K9" s="258"/>
      <c r="L9" s="255"/>
      <c r="M9" s="60"/>
    </row>
    <row r="10" spans="1:13" s="32" customFormat="1" ht="16.5" thickBot="1" x14ac:dyDescent="0.3">
      <c r="A10" s="60"/>
      <c r="B10" s="266"/>
      <c r="C10" s="266"/>
      <c r="D10" s="267"/>
      <c r="E10" s="266"/>
      <c r="F10" s="266"/>
      <c r="G10" s="266"/>
      <c r="H10" s="266"/>
      <c r="I10" s="266"/>
      <c r="J10" s="266"/>
      <c r="K10" s="266"/>
      <c r="L10" s="255"/>
      <c r="M10" s="60"/>
    </row>
    <row r="11" spans="1:13" ht="16.5" thickBot="1" x14ac:dyDescent="0.3">
      <c r="A11" s="60"/>
      <c r="B11" s="258" t="s">
        <v>211</v>
      </c>
      <c r="C11" s="259"/>
      <c r="D11" s="208"/>
      <c r="E11" s="260" t="s">
        <v>216</v>
      </c>
      <c r="F11" s="258"/>
      <c r="G11" s="258"/>
      <c r="H11" s="258"/>
      <c r="I11" s="258"/>
      <c r="J11" s="258"/>
      <c r="K11" s="258"/>
      <c r="L11" s="255"/>
      <c r="M11" s="60"/>
    </row>
    <row r="12" spans="1:13" ht="15.75" x14ac:dyDescent="0.25">
      <c r="A12" s="60"/>
      <c r="B12" s="258" t="s">
        <v>215</v>
      </c>
      <c r="C12" s="258"/>
      <c r="D12" s="261"/>
      <c r="E12" s="258"/>
      <c r="F12" s="258"/>
      <c r="G12" s="258"/>
      <c r="H12" s="258"/>
      <c r="I12" s="258"/>
      <c r="J12" s="258"/>
      <c r="K12" s="258"/>
      <c r="L12" s="255"/>
      <c r="M12" s="60"/>
    </row>
    <row r="13" spans="1:13" x14ac:dyDescent="0.25">
      <c r="A13" s="60"/>
      <c r="B13" s="254"/>
      <c r="C13" s="254"/>
      <c r="D13" s="254"/>
      <c r="E13" s="254"/>
      <c r="F13" s="254"/>
      <c r="G13" s="254"/>
      <c r="H13" s="254"/>
      <c r="I13" s="254"/>
      <c r="J13" s="254"/>
      <c r="K13" s="254"/>
      <c r="L13" s="254"/>
      <c r="M13" s="60"/>
    </row>
    <row r="14" spans="1:13" ht="15.75" x14ac:dyDescent="0.25">
      <c r="A14" s="60"/>
      <c r="B14" s="252" t="s">
        <v>217</v>
      </c>
      <c r="C14" s="252"/>
      <c r="D14" s="252"/>
      <c r="E14" s="252"/>
      <c r="F14" s="252"/>
      <c r="G14" s="252"/>
      <c r="H14" s="252"/>
      <c r="I14" s="252"/>
      <c r="J14" s="252"/>
      <c r="K14" s="252"/>
      <c r="L14" s="252"/>
      <c r="M14" s="60"/>
    </row>
    <row r="15" spans="1:13" s="32" customFormat="1" ht="15.75" x14ac:dyDescent="0.25">
      <c r="A15" s="60"/>
      <c r="B15" s="253" t="s">
        <v>272</v>
      </c>
      <c r="C15" s="253"/>
      <c r="D15" s="253"/>
      <c r="E15" s="253"/>
      <c r="F15" s="253"/>
      <c r="G15" s="253"/>
      <c r="H15" s="253"/>
      <c r="I15" s="253"/>
      <c r="J15" s="253"/>
      <c r="K15" s="253"/>
      <c r="L15" s="253"/>
      <c r="M15" s="60"/>
    </row>
    <row r="16" spans="1:13" s="32" customFormat="1" ht="16.5" thickBot="1" x14ac:dyDescent="0.3">
      <c r="A16" s="60"/>
      <c r="B16" s="253" t="s">
        <v>273</v>
      </c>
      <c r="C16" s="253"/>
      <c r="D16" s="253"/>
      <c r="E16" s="253"/>
      <c r="F16" s="253"/>
      <c r="G16" s="253"/>
      <c r="H16" s="253"/>
      <c r="I16" s="253"/>
      <c r="J16" s="253"/>
      <c r="K16" s="253"/>
      <c r="L16" s="253"/>
      <c r="M16" s="60"/>
    </row>
    <row r="17" spans="1:13" ht="16.5" thickBot="1" x14ac:dyDescent="0.3">
      <c r="A17" s="60"/>
      <c r="B17" s="253" t="s">
        <v>235</v>
      </c>
      <c r="C17" s="253"/>
      <c r="D17" s="253"/>
      <c r="E17" s="262"/>
      <c r="F17" s="206"/>
      <c r="G17" s="256"/>
      <c r="H17" s="257"/>
      <c r="I17" s="257"/>
      <c r="J17" s="257"/>
      <c r="K17" s="257"/>
      <c r="L17" s="257"/>
      <c r="M17" s="60"/>
    </row>
    <row r="18" spans="1:13" ht="15.75" x14ac:dyDescent="0.25">
      <c r="A18" s="60"/>
      <c r="B18" s="253" t="s">
        <v>236</v>
      </c>
      <c r="C18" s="253"/>
      <c r="D18" s="253"/>
      <c r="E18" s="253"/>
      <c r="F18" s="253"/>
      <c r="G18" s="253"/>
      <c r="H18" s="253"/>
      <c r="I18" s="253"/>
      <c r="J18" s="253"/>
      <c r="K18" s="253"/>
      <c r="L18" s="253"/>
      <c r="M18" s="60"/>
    </row>
    <row r="19" spans="1:13" s="32" customFormat="1" ht="15.75" x14ac:dyDescent="0.25">
      <c r="A19" s="60"/>
      <c r="B19" s="253" t="s">
        <v>237</v>
      </c>
      <c r="C19" s="253"/>
      <c r="D19" s="253"/>
      <c r="E19" s="253"/>
      <c r="F19" s="253"/>
      <c r="G19" s="253"/>
      <c r="H19" s="253"/>
      <c r="I19" s="253"/>
      <c r="J19" s="253"/>
      <c r="K19" s="253"/>
      <c r="L19" s="253"/>
      <c r="M19" s="60"/>
    </row>
    <row r="20" spans="1:13" s="32" customFormat="1" x14ac:dyDescent="0.25">
      <c r="A20" s="60"/>
      <c r="B20" s="254"/>
      <c r="C20" s="254"/>
      <c r="D20" s="254"/>
      <c r="E20" s="254"/>
      <c r="F20" s="254"/>
      <c r="G20" s="254"/>
      <c r="H20" s="254"/>
      <c r="I20" s="254"/>
      <c r="J20" s="254"/>
      <c r="K20" s="254"/>
      <c r="L20" s="254"/>
      <c r="M20" s="60"/>
    </row>
    <row r="21" spans="1:13" s="32" customFormat="1" ht="15.75" x14ac:dyDescent="0.25">
      <c r="A21" s="60"/>
      <c r="B21" s="252" t="s">
        <v>219</v>
      </c>
      <c r="C21" s="252"/>
      <c r="D21" s="252"/>
      <c r="E21" s="252"/>
      <c r="F21" s="252"/>
      <c r="G21" s="252"/>
      <c r="H21" s="252"/>
      <c r="I21" s="252"/>
      <c r="J21" s="252"/>
      <c r="K21" s="252"/>
      <c r="L21" s="252"/>
      <c r="M21" s="60"/>
    </row>
    <row r="22" spans="1:13" s="32" customFormat="1" ht="15.75" x14ac:dyDescent="0.25">
      <c r="A22" s="60"/>
      <c r="B22" s="265" t="s">
        <v>238</v>
      </c>
      <c r="C22" s="265"/>
      <c r="D22" s="265"/>
      <c r="E22" s="265"/>
      <c r="F22" s="265"/>
      <c r="G22" s="265"/>
      <c r="H22" s="265"/>
      <c r="I22" s="265"/>
      <c r="J22" s="265"/>
      <c r="K22" s="265"/>
      <c r="L22" s="265"/>
      <c r="M22" s="60"/>
    </row>
    <row r="23" spans="1:13" s="32" customFormat="1" ht="15.75" x14ac:dyDescent="0.25">
      <c r="A23" s="60"/>
      <c r="B23" s="265" t="s">
        <v>225</v>
      </c>
      <c r="C23" s="265"/>
      <c r="D23" s="265"/>
      <c r="E23" s="265"/>
      <c r="F23" s="265"/>
      <c r="G23" s="265"/>
      <c r="H23" s="265"/>
      <c r="I23" s="265"/>
      <c r="J23" s="265"/>
      <c r="K23" s="265"/>
      <c r="L23" s="265"/>
      <c r="M23" s="60"/>
    </row>
    <row r="24" spans="1:13" s="32" customFormat="1" ht="15.75" x14ac:dyDescent="0.25">
      <c r="A24" s="60"/>
      <c r="B24" s="265" t="s">
        <v>223</v>
      </c>
      <c r="C24" s="265"/>
      <c r="D24" s="265"/>
      <c r="E24" s="265"/>
      <c r="F24" s="265"/>
      <c r="G24" s="265"/>
      <c r="H24" s="265"/>
      <c r="I24" s="265"/>
      <c r="J24" s="265"/>
      <c r="K24" s="265"/>
      <c r="L24" s="265"/>
      <c r="M24" s="60"/>
    </row>
    <row r="25" spans="1:13" s="32" customFormat="1" ht="15.75" x14ac:dyDescent="0.25">
      <c r="A25" s="60"/>
      <c r="B25" s="265" t="s">
        <v>224</v>
      </c>
      <c r="C25" s="265"/>
      <c r="D25" s="265"/>
      <c r="E25" s="265"/>
      <c r="F25" s="265"/>
      <c r="G25" s="265"/>
      <c r="H25" s="265"/>
      <c r="I25" s="265"/>
      <c r="J25" s="265"/>
      <c r="K25" s="265"/>
      <c r="L25" s="265"/>
      <c r="M25" s="60"/>
    </row>
    <row r="26" spans="1:13" ht="15.75" x14ac:dyDescent="0.25">
      <c r="A26" s="60"/>
      <c r="B26" s="264" t="s">
        <v>221</v>
      </c>
      <c r="C26" s="264"/>
      <c r="D26" s="264"/>
      <c r="E26" s="264"/>
      <c r="F26" s="264"/>
      <c r="G26" s="264"/>
      <c r="H26" s="264"/>
      <c r="I26" s="264"/>
      <c r="J26" s="264"/>
      <c r="K26" s="264"/>
      <c r="L26" s="264"/>
      <c r="M26" s="60"/>
    </row>
    <row r="27" spans="1:13" ht="15.75" x14ac:dyDescent="0.25">
      <c r="A27" s="60"/>
      <c r="B27" s="264" t="s">
        <v>220</v>
      </c>
      <c r="C27" s="264"/>
      <c r="D27" s="264"/>
      <c r="E27" s="264"/>
      <c r="F27" s="264"/>
      <c r="G27" s="264"/>
      <c r="H27" s="264"/>
      <c r="I27" s="264"/>
      <c r="J27" s="264"/>
      <c r="K27" s="264"/>
      <c r="L27" s="264"/>
      <c r="M27" s="60"/>
    </row>
    <row r="28" spans="1:13" ht="15.75" x14ac:dyDescent="0.25">
      <c r="A28" s="60"/>
      <c r="B28" s="265" t="s">
        <v>222</v>
      </c>
      <c r="C28" s="265"/>
      <c r="D28" s="265"/>
      <c r="E28" s="265"/>
      <c r="F28" s="265"/>
      <c r="G28" s="265"/>
      <c r="H28" s="265"/>
      <c r="I28" s="265"/>
      <c r="J28" s="265"/>
      <c r="K28" s="265"/>
      <c r="L28" s="265"/>
      <c r="M28" s="60"/>
    </row>
    <row r="29" spans="1:13" x14ac:dyDescent="0.25">
      <c r="A29" s="60"/>
      <c r="B29" s="60"/>
      <c r="C29" s="60"/>
      <c r="D29" s="60"/>
      <c r="E29" s="60"/>
      <c r="F29" s="60"/>
      <c r="G29" s="60"/>
      <c r="H29" s="60"/>
      <c r="I29" s="60"/>
      <c r="J29" s="60"/>
      <c r="K29" s="60"/>
      <c r="L29" s="60"/>
      <c r="M29" s="60"/>
    </row>
  </sheetData>
  <sheetProtection algorithmName="SHA-512" hashValue="Sp/NyzQNEeMaqRXutpAB9grXq8LNi3dG5ASCPc05PEgW+pYpM2A8IDSRAs08vAjyVQ+RPyx83d0EI+tYbYOIaA==" saltValue="YjO5rlobfndGmg9w5iVe2w==" spinCount="100000" sheet="1" objects="1" scenarios="1" selectLockedCells="1" selectUnlockedCells="1"/>
  <mergeCells count="31">
    <mergeCell ref="B27:L27"/>
    <mergeCell ref="B28:L28"/>
    <mergeCell ref="B10:K10"/>
    <mergeCell ref="B4:L4"/>
    <mergeCell ref="B5:L5"/>
    <mergeCell ref="B22:L22"/>
    <mergeCell ref="B26:L26"/>
    <mergeCell ref="B24:L24"/>
    <mergeCell ref="B25:L25"/>
    <mergeCell ref="B23:L23"/>
    <mergeCell ref="B21:L21"/>
    <mergeCell ref="B20:L20"/>
    <mergeCell ref="B9:C9"/>
    <mergeCell ref="E9:K9"/>
    <mergeCell ref="B6:K6"/>
    <mergeCell ref="B2:L3"/>
    <mergeCell ref="B14:L14"/>
    <mergeCell ref="B19:L19"/>
    <mergeCell ref="B13:L13"/>
    <mergeCell ref="L6:L12"/>
    <mergeCell ref="B18:L18"/>
    <mergeCell ref="G17:L17"/>
    <mergeCell ref="B11:C11"/>
    <mergeCell ref="E11:K11"/>
    <mergeCell ref="B12:K12"/>
    <mergeCell ref="B15:L15"/>
    <mergeCell ref="B16:L16"/>
    <mergeCell ref="B17:E17"/>
    <mergeCell ref="B7:C7"/>
    <mergeCell ref="E7:K7"/>
    <mergeCell ref="B8:K8"/>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FBCD-794E-412F-A2DB-A76E839B1D3C}">
  <dimension ref="A1:Z304"/>
  <sheetViews>
    <sheetView topLeftCell="G1" workbookViewId="0">
      <selection activeCell="N2" sqref="N2:N3"/>
    </sheetView>
  </sheetViews>
  <sheetFormatPr defaultRowHeight="15" x14ac:dyDescent="0.25"/>
  <cols>
    <col min="1" max="1" width="22.7109375" customWidth="1"/>
    <col min="2" max="3" width="23.5703125" customWidth="1"/>
    <col min="19" max="19" width="10" customWidth="1"/>
    <col min="20" max="21" width="9.140625" style="32"/>
    <col min="22" max="22" width="10.42578125" customWidth="1"/>
  </cols>
  <sheetData>
    <row r="1" spans="1:22" s="32" customFormat="1" x14ac:dyDescent="0.25">
      <c r="R1" s="32" t="s">
        <v>150</v>
      </c>
      <c r="U1" s="32" t="s">
        <v>106</v>
      </c>
    </row>
    <row r="2" spans="1:22" x14ac:dyDescent="0.25">
      <c r="A2" t="s">
        <v>64</v>
      </c>
      <c r="B2" t="s">
        <v>57</v>
      </c>
      <c r="C2" t="s">
        <v>72</v>
      </c>
      <c r="D2" t="s">
        <v>60</v>
      </c>
      <c r="G2">
        <v>26</v>
      </c>
      <c r="H2" s="32">
        <v>0</v>
      </c>
      <c r="N2" s="32" t="s">
        <v>276</v>
      </c>
      <c r="R2" t="s">
        <v>28</v>
      </c>
      <c r="S2" t="s">
        <v>151</v>
      </c>
      <c r="U2" s="32" t="s">
        <v>28</v>
      </c>
      <c r="V2" t="s">
        <v>151</v>
      </c>
    </row>
    <row r="3" spans="1:22" x14ac:dyDescent="0.25">
      <c r="A3" s="17" t="s">
        <v>54</v>
      </c>
      <c r="B3" s="17" t="s">
        <v>67</v>
      </c>
      <c r="C3" t="s">
        <v>73</v>
      </c>
      <c r="D3">
        <v>0</v>
      </c>
      <c r="E3" s="30" t="s">
        <v>80</v>
      </c>
      <c r="F3" t="s">
        <v>74</v>
      </c>
      <c r="G3">
        <v>25</v>
      </c>
      <c r="H3" s="32">
        <v>1</v>
      </c>
      <c r="I3" t="s">
        <v>46</v>
      </c>
      <c r="J3" s="15">
        <v>0.01</v>
      </c>
      <c r="K3">
        <v>0</v>
      </c>
      <c r="N3" s="32" t="s">
        <v>277</v>
      </c>
      <c r="R3" s="32">
        <v>1</v>
      </c>
      <c r="S3">
        <v>1</v>
      </c>
      <c r="U3" s="32">
        <v>1</v>
      </c>
      <c r="V3">
        <v>18</v>
      </c>
    </row>
    <row r="4" spans="1:22" x14ac:dyDescent="0.25">
      <c r="A4" s="25" t="s">
        <v>65</v>
      </c>
      <c r="B4" s="25" t="s">
        <v>68</v>
      </c>
      <c r="D4">
        <v>1</v>
      </c>
      <c r="E4" s="28">
        <v>0</v>
      </c>
      <c r="F4" t="s">
        <v>75</v>
      </c>
      <c r="G4">
        <v>24</v>
      </c>
      <c r="H4" s="32">
        <v>2</v>
      </c>
      <c r="I4" t="s">
        <v>47</v>
      </c>
      <c r="J4" s="15">
        <v>0.05</v>
      </c>
      <c r="K4">
        <v>0.5</v>
      </c>
      <c r="R4" s="32">
        <v>2</v>
      </c>
      <c r="S4" s="32">
        <v>1</v>
      </c>
      <c r="U4" s="32">
        <v>2</v>
      </c>
      <c r="V4" s="32">
        <v>17</v>
      </c>
    </row>
    <row r="5" spans="1:22" x14ac:dyDescent="0.25">
      <c r="A5" s="25" t="s">
        <v>66</v>
      </c>
      <c r="B5" s="25" t="s">
        <v>69</v>
      </c>
      <c r="C5" t="s">
        <v>59</v>
      </c>
      <c r="D5">
        <v>2</v>
      </c>
      <c r="E5" s="28">
        <v>2.0833333333333332E-2</v>
      </c>
      <c r="F5" t="s">
        <v>76</v>
      </c>
      <c r="G5" s="32">
        <v>23</v>
      </c>
      <c r="H5" s="32">
        <v>3</v>
      </c>
      <c r="J5" s="34">
        <v>0.1</v>
      </c>
      <c r="K5">
        <v>1</v>
      </c>
      <c r="R5" s="32">
        <v>3</v>
      </c>
      <c r="S5" s="21">
        <v>1.5</v>
      </c>
      <c r="T5" s="21"/>
      <c r="U5" s="32">
        <v>3</v>
      </c>
      <c r="V5" s="32">
        <v>16</v>
      </c>
    </row>
    <row r="6" spans="1:22" x14ac:dyDescent="0.25">
      <c r="A6" s="25" t="s">
        <v>83</v>
      </c>
      <c r="B6" s="25" t="s">
        <v>70</v>
      </c>
      <c r="C6" t="s">
        <v>55</v>
      </c>
      <c r="D6">
        <v>3</v>
      </c>
      <c r="E6" s="28">
        <v>4.1666666666666664E-2</v>
      </c>
      <c r="F6" t="s">
        <v>77</v>
      </c>
      <c r="G6" s="32">
        <v>22</v>
      </c>
      <c r="H6" s="32">
        <v>4</v>
      </c>
      <c r="J6" s="34">
        <v>0.2</v>
      </c>
      <c r="K6">
        <v>1.5</v>
      </c>
      <c r="R6" s="32">
        <v>4</v>
      </c>
      <c r="S6" s="21">
        <v>1.5</v>
      </c>
      <c r="T6" s="21"/>
      <c r="U6" s="32">
        <v>4</v>
      </c>
      <c r="V6" s="32">
        <v>15</v>
      </c>
    </row>
    <row r="7" spans="1:22" x14ac:dyDescent="0.25">
      <c r="A7" s="23"/>
      <c r="B7" s="25" t="s">
        <v>84</v>
      </c>
      <c r="D7">
        <v>4</v>
      </c>
      <c r="E7" s="28">
        <v>6.25E-2</v>
      </c>
      <c r="F7" t="s">
        <v>78</v>
      </c>
      <c r="G7" s="32">
        <v>21</v>
      </c>
      <c r="H7" s="32">
        <v>5</v>
      </c>
      <c r="J7" s="34">
        <v>0.3</v>
      </c>
      <c r="K7" s="21">
        <v>2</v>
      </c>
      <c r="R7" s="32">
        <v>5</v>
      </c>
      <c r="S7" s="21">
        <v>2.5</v>
      </c>
      <c r="T7" s="21"/>
      <c r="U7" s="32">
        <v>5</v>
      </c>
      <c r="V7" s="32">
        <v>14</v>
      </c>
    </row>
    <row r="8" spans="1:22" x14ac:dyDescent="0.25">
      <c r="B8" s="23"/>
      <c r="D8">
        <v>5</v>
      </c>
      <c r="E8" s="28">
        <v>8.3333333333333398E-2</v>
      </c>
      <c r="F8" t="s">
        <v>61</v>
      </c>
      <c r="G8" s="32">
        <v>20</v>
      </c>
      <c r="H8" s="32">
        <v>6</v>
      </c>
      <c r="J8" s="34">
        <v>0.4</v>
      </c>
      <c r="K8" s="21">
        <v>2.5</v>
      </c>
      <c r="R8" s="32">
        <v>6</v>
      </c>
      <c r="S8" s="21">
        <v>2.5</v>
      </c>
      <c r="T8" s="21"/>
      <c r="U8" s="32">
        <v>6</v>
      </c>
      <c r="V8" s="32">
        <v>13</v>
      </c>
    </row>
    <row r="9" spans="1:22" x14ac:dyDescent="0.25">
      <c r="B9" s="25" t="s">
        <v>57</v>
      </c>
      <c r="C9" t="s">
        <v>49</v>
      </c>
      <c r="D9">
        <v>6</v>
      </c>
      <c r="E9" s="28">
        <v>0.104166666666667</v>
      </c>
      <c r="F9" t="s">
        <v>79</v>
      </c>
      <c r="G9" s="32">
        <v>19</v>
      </c>
      <c r="H9" s="32">
        <v>7</v>
      </c>
      <c r="J9" s="34">
        <v>0.5</v>
      </c>
      <c r="K9" s="21">
        <v>3</v>
      </c>
      <c r="R9" s="32">
        <v>7</v>
      </c>
      <c r="S9" s="21">
        <v>2.5</v>
      </c>
      <c r="T9" s="21"/>
      <c r="U9" s="32">
        <v>7</v>
      </c>
      <c r="V9" s="32">
        <v>13</v>
      </c>
    </row>
    <row r="10" spans="1:22" x14ac:dyDescent="0.25">
      <c r="A10" s="21"/>
      <c r="B10" s="25" t="s">
        <v>70</v>
      </c>
      <c r="C10" t="s">
        <v>62</v>
      </c>
      <c r="D10">
        <v>7</v>
      </c>
      <c r="E10" s="28">
        <v>0.125</v>
      </c>
      <c r="G10" s="32">
        <v>18</v>
      </c>
      <c r="H10" s="32">
        <v>8</v>
      </c>
      <c r="J10" s="34">
        <v>0.6</v>
      </c>
      <c r="K10" s="21">
        <v>3.5</v>
      </c>
      <c r="R10" s="32">
        <v>8</v>
      </c>
      <c r="S10" s="21">
        <v>4</v>
      </c>
      <c r="T10" s="21"/>
      <c r="U10" s="32">
        <v>8</v>
      </c>
      <c r="V10" s="32">
        <v>12</v>
      </c>
    </row>
    <row r="11" spans="1:22" x14ac:dyDescent="0.25">
      <c r="A11" s="23" t="s">
        <v>106</v>
      </c>
      <c r="B11" s="25" t="s">
        <v>84</v>
      </c>
      <c r="D11">
        <v>8</v>
      </c>
      <c r="E11" s="28">
        <v>0.14583333333333401</v>
      </c>
      <c r="G11" s="32">
        <v>17</v>
      </c>
      <c r="H11" s="32">
        <v>9</v>
      </c>
      <c r="J11" s="34">
        <v>0.7</v>
      </c>
      <c r="K11" s="21">
        <v>4</v>
      </c>
      <c r="R11" s="32">
        <v>9</v>
      </c>
      <c r="S11" s="21">
        <v>4</v>
      </c>
      <c r="T11" s="21"/>
      <c r="U11" s="32">
        <v>9</v>
      </c>
      <c r="V11" s="32">
        <v>12</v>
      </c>
    </row>
    <row r="12" spans="1:22" x14ac:dyDescent="0.25">
      <c r="A12" s="24" t="s">
        <v>107</v>
      </c>
      <c r="D12">
        <v>9</v>
      </c>
      <c r="E12" s="28">
        <v>0.16666666666666699</v>
      </c>
      <c r="G12" s="32">
        <v>16</v>
      </c>
      <c r="H12" s="32">
        <v>10</v>
      </c>
      <c r="J12" s="34">
        <v>0.8</v>
      </c>
      <c r="K12" s="21">
        <v>4.5</v>
      </c>
      <c r="R12" s="32">
        <v>10</v>
      </c>
      <c r="S12" s="21">
        <v>4</v>
      </c>
      <c r="T12" s="21"/>
      <c r="U12" s="32">
        <v>10</v>
      </c>
      <c r="V12" s="32">
        <v>11</v>
      </c>
    </row>
    <row r="13" spans="1:22" x14ac:dyDescent="0.25">
      <c r="B13" s="25" t="s">
        <v>57</v>
      </c>
      <c r="C13" t="s">
        <v>93</v>
      </c>
      <c r="D13">
        <v>10</v>
      </c>
      <c r="E13" s="28">
        <v>0.1875</v>
      </c>
      <c r="G13" s="32">
        <v>15</v>
      </c>
      <c r="H13" s="32">
        <v>11</v>
      </c>
      <c r="J13" s="34">
        <v>0.9</v>
      </c>
      <c r="K13" s="21">
        <v>5</v>
      </c>
      <c r="R13" s="32">
        <v>11</v>
      </c>
      <c r="S13" s="21">
        <v>4</v>
      </c>
      <c r="T13" s="21"/>
      <c r="U13" s="32">
        <v>11</v>
      </c>
      <c r="V13" s="32">
        <v>11</v>
      </c>
    </row>
    <row r="14" spans="1:22" x14ac:dyDescent="0.25">
      <c r="B14" s="25" t="s">
        <v>67</v>
      </c>
      <c r="C14" t="s">
        <v>94</v>
      </c>
      <c r="D14">
        <v>11</v>
      </c>
      <c r="E14" s="28">
        <v>0.20833333333333401</v>
      </c>
      <c r="G14" s="32">
        <v>14</v>
      </c>
      <c r="H14" s="32">
        <v>12</v>
      </c>
      <c r="J14" s="34">
        <v>1</v>
      </c>
      <c r="R14" s="32">
        <v>12</v>
      </c>
      <c r="S14" s="21">
        <v>4</v>
      </c>
      <c r="T14" s="21"/>
      <c r="U14" s="32">
        <v>12</v>
      </c>
      <c r="V14" s="32">
        <v>11</v>
      </c>
    </row>
    <row r="15" spans="1:22" x14ac:dyDescent="0.25">
      <c r="A15" t="s">
        <v>17</v>
      </c>
      <c r="B15" s="25" t="s">
        <v>68</v>
      </c>
      <c r="D15">
        <v>12</v>
      </c>
      <c r="E15" s="28">
        <v>0.22916666666666699</v>
      </c>
      <c r="G15" s="32">
        <v>13</v>
      </c>
      <c r="H15" s="32">
        <v>13</v>
      </c>
      <c r="M15" s="21">
        <v>0</v>
      </c>
      <c r="N15" s="45">
        <v>1</v>
      </c>
      <c r="R15" s="32">
        <v>13</v>
      </c>
      <c r="S15" s="21">
        <v>6</v>
      </c>
      <c r="T15" s="21"/>
      <c r="U15" s="32">
        <v>13</v>
      </c>
      <c r="V15" s="32">
        <v>10</v>
      </c>
    </row>
    <row r="16" spans="1:22" x14ac:dyDescent="0.25">
      <c r="A16" t="s">
        <v>110</v>
      </c>
      <c r="B16" s="25" t="s">
        <v>69</v>
      </c>
      <c r="C16">
        <v>12</v>
      </c>
      <c r="D16">
        <v>13</v>
      </c>
      <c r="E16" s="28">
        <v>0.25</v>
      </c>
      <c r="G16" s="32">
        <v>12</v>
      </c>
      <c r="H16" s="32">
        <v>14</v>
      </c>
      <c r="J16" s="34"/>
      <c r="M16" s="21">
        <v>1</v>
      </c>
      <c r="N16" s="45">
        <v>1</v>
      </c>
      <c r="R16" s="32">
        <v>14</v>
      </c>
      <c r="S16" s="21">
        <v>6</v>
      </c>
      <c r="T16" s="21"/>
      <c r="U16" s="32">
        <v>14</v>
      </c>
      <c r="V16" s="32">
        <v>10</v>
      </c>
    </row>
    <row r="17" spans="1:22" x14ac:dyDescent="0.25">
      <c r="B17" s="25" t="s">
        <v>86</v>
      </c>
      <c r="C17">
        <v>24</v>
      </c>
      <c r="D17">
        <v>14</v>
      </c>
      <c r="E17" s="28">
        <v>0.27083333333333398</v>
      </c>
      <c r="G17" s="32">
        <v>11</v>
      </c>
      <c r="H17" s="32">
        <v>15</v>
      </c>
      <c r="J17" s="34"/>
      <c r="M17" s="21">
        <v>2</v>
      </c>
      <c r="N17" s="45">
        <v>1</v>
      </c>
      <c r="R17" s="32">
        <v>15</v>
      </c>
      <c r="S17" s="21">
        <v>6</v>
      </c>
      <c r="T17" s="21"/>
      <c r="U17" s="32">
        <v>15</v>
      </c>
      <c r="V17" s="32">
        <v>10</v>
      </c>
    </row>
    <row r="18" spans="1:22" x14ac:dyDescent="0.25">
      <c r="A18" t="s">
        <v>126</v>
      </c>
      <c r="B18" s="25" t="s">
        <v>63</v>
      </c>
      <c r="C18">
        <v>48</v>
      </c>
      <c r="D18">
        <v>15</v>
      </c>
      <c r="E18" s="28">
        <v>0.29166666666666702</v>
      </c>
      <c r="G18" s="32">
        <v>10</v>
      </c>
      <c r="H18" s="32">
        <v>16</v>
      </c>
      <c r="M18" s="21">
        <v>3</v>
      </c>
      <c r="N18" s="45">
        <v>1</v>
      </c>
      <c r="R18" s="32">
        <v>16</v>
      </c>
      <c r="S18" s="21">
        <v>6</v>
      </c>
      <c r="T18" s="21"/>
      <c r="U18" s="32">
        <v>16</v>
      </c>
      <c r="V18" s="32">
        <v>9</v>
      </c>
    </row>
    <row r="19" spans="1:22" x14ac:dyDescent="0.25">
      <c r="A19" s="21" t="s">
        <v>127</v>
      </c>
      <c r="B19" s="25" t="s">
        <v>70</v>
      </c>
      <c r="C19" s="21"/>
      <c r="D19">
        <v>16</v>
      </c>
      <c r="E19" s="28">
        <v>0.3125</v>
      </c>
      <c r="F19" s="21"/>
      <c r="G19" s="32">
        <v>9</v>
      </c>
      <c r="H19" s="32">
        <v>17</v>
      </c>
      <c r="J19" s="21"/>
      <c r="K19" s="21"/>
      <c r="L19" s="21"/>
      <c r="M19" s="21">
        <v>4</v>
      </c>
      <c r="N19" s="45">
        <v>1</v>
      </c>
      <c r="O19" s="21"/>
      <c r="P19" s="21"/>
      <c r="R19" s="32">
        <v>17</v>
      </c>
      <c r="S19" s="21">
        <v>6</v>
      </c>
      <c r="T19" s="21"/>
      <c r="U19" s="32">
        <v>17</v>
      </c>
      <c r="V19" s="32">
        <v>9</v>
      </c>
    </row>
    <row r="20" spans="1:22" x14ac:dyDescent="0.25">
      <c r="A20" s="21"/>
      <c r="B20" s="25" t="s">
        <v>84</v>
      </c>
      <c r="C20" s="21">
        <v>1</v>
      </c>
      <c r="D20">
        <v>17</v>
      </c>
      <c r="E20" s="28">
        <v>0.33333333333333398</v>
      </c>
      <c r="F20" s="21"/>
      <c r="G20" s="32">
        <v>8</v>
      </c>
      <c r="H20" s="32">
        <v>18</v>
      </c>
      <c r="J20" s="21"/>
      <c r="K20" s="21"/>
      <c r="L20" s="21"/>
      <c r="M20" s="21">
        <v>5</v>
      </c>
      <c r="N20" s="45">
        <v>1</v>
      </c>
      <c r="O20" s="21"/>
      <c r="P20" s="21"/>
      <c r="R20" s="32">
        <v>18</v>
      </c>
      <c r="S20" s="21">
        <v>6</v>
      </c>
      <c r="T20" s="21"/>
      <c r="U20" s="32">
        <v>18</v>
      </c>
      <c r="V20" s="32">
        <v>9</v>
      </c>
    </row>
    <row r="21" spans="1:22" x14ac:dyDescent="0.25">
      <c r="A21" s="21"/>
      <c r="C21" s="21">
        <v>1.5</v>
      </c>
      <c r="D21">
        <v>18</v>
      </c>
      <c r="E21" s="28">
        <v>0.35416666666666702</v>
      </c>
      <c r="F21" s="21"/>
      <c r="G21" s="32">
        <v>7</v>
      </c>
      <c r="H21" s="32">
        <v>19</v>
      </c>
      <c r="J21" s="21"/>
      <c r="K21" s="21"/>
      <c r="L21" s="21"/>
      <c r="M21" s="21">
        <v>6</v>
      </c>
      <c r="N21" s="45">
        <v>1</v>
      </c>
      <c r="O21" s="21"/>
      <c r="P21" s="21"/>
      <c r="R21" s="32">
        <v>19</v>
      </c>
      <c r="S21" s="21">
        <v>6</v>
      </c>
      <c r="T21" s="21"/>
      <c r="U21" s="32">
        <v>19</v>
      </c>
      <c r="V21" s="32">
        <v>9</v>
      </c>
    </row>
    <row r="22" spans="1:22" x14ac:dyDescent="0.25">
      <c r="A22" s="21"/>
      <c r="B22" s="21"/>
      <c r="C22" s="21">
        <v>2</v>
      </c>
      <c r="D22">
        <v>19</v>
      </c>
      <c r="E22" s="28">
        <v>0.375</v>
      </c>
      <c r="F22" s="21"/>
      <c r="G22" s="32">
        <v>6</v>
      </c>
      <c r="H22" s="32">
        <v>20</v>
      </c>
      <c r="J22" s="21"/>
      <c r="K22" s="21"/>
      <c r="L22" s="21"/>
      <c r="M22" s="21">
        <v>7</v>
      </c>
      <c r="N22" s="45">
        <v>1</v>
      </c>
      <c r="O22" s="21"/>
      <c r="P22" s="21"/>
      <c r="R22" s="32">
        <v>20</v>
      </c>
      <c r="S22" s="21">
        <v>10</v>
      </c>
      <c r="T22" s="21"/>
      <c r="U22" s="32">
        <v>20</v>
      </c>
      <c r="V22" s="32">
        <v>8</v>
      </c>
    </row>
    <row r="23" spans="1:22" x14ac:dyDescent="0.25">
      <c r="A23">
        <v>10</v>
      </c>
      <c r="B23" s="34">
        <v>0.1</v>
      </c>
      <c r="C23" s="21">
        <v>2.5</v>
      </c>
      <c r="D23">
        <v>20</v>
      </c>
      <c r="E23" s="28">
        <v>0.39583333333333398</v>
      </c>
      <c r="F23" s="21"/>
      <c r="G23" s="32">
        <v>5</v>
      </c>
      <c r="H23" s="32">
        <v>21</v>
      </c>
      <c r="J23" s="21"/>
      <c r="K23" s="21"/>
      <c r="L23" s="21"/>
      <c r="M23" s="21">
        <v>8</v>
      </c>
      <c r="N23" s="45">
        <v>1</v>
      </c>
      <c r="O23" s="21"/>
      <c r="P23" s="21"/>
      <c r="R23" s="32">
        <v>21</v>
      </c>
      <c r="S23" s="21">
        <v>10</v>
      </c>
      <c r="T23" s="21"/>
      <c r="U23" s="32">
        <v>21</v>
      </c>
      <c r="V23" s="32">
        <v>8</v>
      </c>
    </row>
    <row r="24" spans="1:22" x14ac:dyDescent="0.25">
      <c r="A24">
        <v>15</v>
      </c>
      <c r="B24" s="34">
        <v>0.2</v>
      </c>
      <c r="C24" s="21">
        <v>3</v>
      </c>
      <c r="D24">
        <v>21</v>
      </c>
      <c r="E24" s="28">
        <v>0.41666666666666702</v>
      </c>
      <c r="F24" s="21"/>
      <c r="G24" s="32">
        <v>4</v>
      </c>
      <c r="H24" s="32">
        <v>22</v>
      </c>
      <c r="J24" s="21"/>
      <c r="K24" s="21"/>
      <c r="L24" s="21"/>
      <c r="M24" s="21">
        <v>9</v>
      </c>
      <c r="N24" s="45">
        <v>1</v>
      </c>
      <c r="O24" s="21"/>
      <c r="P24" s="21"/>
      <c r="R24" s="32">
        <v>22</v>
      </c>
      <c r="S24" s="21">
        <v>10</v>
      </c>
      <c r="T24" s="21"/>
      <c r="U24" s="32">
        <v>22</v>
      </c>
      <c r="V24" s="32">
        <v>8</v>
      </c>
    </row>
    <row r="25" spans="1:22" x14ac:dyDescent="0.25">
      <c r="A25">
        <v>20</v>
      </c>
      <c r="B25" s="34">
        <v>0.3</v>
      </c>
      <c r="C25" s="21">
        <v>3.5</v>
      </c>
      <c r="D25">
        <v>22</v>
      </c>
      <c r="E25" s="28">
        <v>0.4375</v>
      </c>
      <c r="F25" s="21"/>
      <c r="G25" s="32">
        <v>3</v>
      </c>
      <c r="H25" s="32">
        <v>23</v>
      </c>
      <c r="J25" s="21"/>
      <c r="K25" s="21"/>
      <c r="L25" s="21"/>
      <c r="M25" s="21">
        <v>10</v>
      </c>
      <c r="N25" s="45">
        <v>1</v>
      </c>
      <c r="O25" s="21"/>
      <c r="P25" s="21"/>
      <c r="R25" s="32">
        <v>23</v>
      </c>
      <c r="S25" s="21">
        <v>10</v>
      </c>
      <c r="T25" s="21"/>
      <c r="U25" s="32">
        <v>23</v>
      </c>
      <c r="V25" s="32">
        <v>8</v>
      </c>
    </row>
    <row r="26" spans="1:22" x14ac:dyDescent="0.25">
      <c r="A26" s="32">
        <v>25</v>
      </c>
      <c r="B26" s="34">
        <v>0.4</v>
      </c>
      <c r="C26" s="21">
        <v>4</v>
      </c>
      <c r="D26">
        <v>23</v>
      </c>
      <c r="E26" s="28">
        <v>0.45833333333333398</v>
      </c>
      <c r="F26" s="21"/>
      <c r="G26" s="32">
        <v>2</v>
      </c>
      <c r="H26" s="32">
        <v>24</v>
      </c>
      <c r="J26" s="21"/>
      <c r="K26" s="21"/>
      <c r="L26" s="21"/>
      <c r="M26" s="21">
        <v>11</v>
      </c>
      <c r="N26" s="45">
        <v>1</v>
      </c>
      <c r="O26" s="21"/>
      <c r="P26" s="21"/>
      <c r="R26" s="32">
        <v>24</v>
      </c>
      <c r="S26" s="21">
        <v>10</v>
      </c>
      <c r="T26" s="21"/>
      <c r="U26" s="32">
        <v>24</v>
      </c>
      <c r="V26" s="32">
        <v>8</v>
      </c>
    </row>
    <row r="27" spans="1:22" x14ac:dyDescent="0.25">
      <c r="A27" s="32">
        <v>30</v>
      </c>
      <c r="B27" s="34">
        <v>0.5</v>
      </c>
      <c r="C27" s="21">
        <v>4.5</v>
      </c>
      <c r="D27">
        <v>24</v>
      </c>
      <c r="E27" s="28">
        <v>0.47916666666666702</v>
      </c>
      <c r="F27" s="21"/>
      <c r="G27" s="32">
        <v>1</v>
      </c>
      <c r="H27" s="32">
        <v>25</v>
      </c>
      <c r="J27" s="21"/>
      <c r="K27" s="21"/>
      <c r="L27" s="21"/>
      <c r="M27" s="21">
        <v>12</v>
      </c>
      <c r="N27" s="45">
        <v>1</v>
      </c>
      <c r="O27" s="21"/>
      <c r="P27" s="21"/>
      <c r="R27" s="32">
        <v>25</v>
      </c>
      <c r="S27" s="21">
        <v>10</v>
      </c>
      <c r="T27" s="21"/>
      <c r="U27" s="32">
        <v>25</v>
      </c>
      <c r="V27" s="32">
        <v>7</v>
      </c>
    </row>
    <row r="28" spans="1:22" x14ac:dyDescent="0.25">
      <c r="A28" s="32">
        <v>35</v>
      </c>
      <c r="B28" s="34">
        <v>0.6</v>
      </c>
      <c r="C28" s="21">
        <v>5</v>
      </c>
      <c r="D28">
        <v>25</v>
      </c>
      <c r="E28" s="28">
        <v>0.5</v>
      </c>
      <c r="F28" s="21"/>
      <c r="G28" s="36" t="s">
        <v>102</v>
      </c>
      <c r="H28" s="32">
        <v>26</v>
      </c>
      <c r="J28" s="21"/>
      <c r="K28" s="21"/>
      <c r="L28" s="21"/>
      <c r="M28" s="21">
        <v>13</v>
      </c>
      <c r="N28" s="45">
        <v>1</v>
      </c>
      <c r="O28" s="21"/>
      <c r="P28" s="21"/>
      <c r="R28" s="32">
        <v>26</v>
      </c>
      <c r="S28" s="21">
        <v>10</v>
      </c>
      <c r="T28" s="21"/>
      <c r="U28" s="32">
        <v>26</v>
      </c>
      <c r="V28" s="32">
        <v>7</v>
      </c>
    </row>
    <row r="29" spans="1:22" x14ac:dyDescent="0.25">
      <c r="A29" s="32">
        <v>40</v>
      </c>
      <c r="B29" s="34">
        <v>0.7</v>
      </c>
      <c r="C29" s="21">
        <v>5.5</v>
      </c>
      <c r="D29">
        <v>26</v>
      </c>
      <c r="E29" s="28">
        <v>0.52083333333333404</v>
      </c>
      <c r="F29" s="21"/>
      <c r="G29" s="36" t="s">
        <v>103</v>
      </c>
      <c r="H29" s="32">
        <v>27</v>
      </c>
      <c r="J29" s="21"/>
      <c r="K29" s="21"/>
      <c r="L29" s="21"/>
      <c r="M29" s="21">
        <v>14</v>
      </c>
      <c r="N29" s="45">
        <v>1</v>
      </c>
      <c r="O29" s="21"/>
      <c r="P29" s="21"/>
      <c r="R29" s="32">
        <v>27</v>
      </c>
      <c r="S29" s="21">
        <v>10</v>
      </c>
      <c r="T29" s="21"/>
      <c r="U29" s="32">
        <v>27</v>
      </c>
      <c r="V29" s="32">
        <v>7</v>
      </c>
    </row>
    <row r="30" spans="1:22" x14ac:dyDescent="0.25">
      <c r="A30" s="32">
        <v>45</v>
      </c>
      <c r="B30" s="34">
        <v>0.8</v>
      </c>
      <c r="C30" s="21">
        <v>6</v>
      </c>
      <c r="D30">
        <v>27</v>
      </c>
      <c r="E30" s="28">
        <v>0.54166666666666696</v>
      </c>
      <c r="F30" s="21"/>
      <c r="G30" s="36" t="s">
        <v>104</v>
      </c>
      <c r="H30" s="32">
        <v>28</v>
      </c>
      <c r="J30" s="21"/>
      <c r="K30" s="21"/>
      <c r="L30" s="21"/>
      <c r="M30" s="21">
        <v>15</v>
      </c>
      <c r="N30" s="45">
        <v>1</v>
      </c>
      <c r="O30" s="21"/>
      <c r="P30" s="21"/>
      <c r="R30" s="32">
        <v>28</v>
      </c>
      <c r="S30" s="21">
        <v>10</v>
      </c>
      <c r="T30" s="21"/>
      <c r="U30" s="32">
        <v>28</v>
      </c>
      <c r="V30" s="32">
        <v>7</v>
      </c>
    </row>
    <row r="31" spans="1:22" x14ac:dyDescent="0.25">
      <c r="A31" s="32">
        <v>50</v>
      </c>
      <c r="B31" s="34">
        <v>0.9</v>
      </c>
      <c r="C31" s="21">
        <v>6.5</v>
      </c>
      <c r="D31">
        <v>28</v>
      </c>
      <c r="E31" s="28">
        <v>0.5625</v>
      </c>
      <c r="F31" s="21"/>
      <c r="G31" s="36" t="s">
        <v>105</v>
      </c>
      <c r="H31" s="32">
        <v>29</v>
      </c>
      <c r="J31" s="21"/>
      <c r="K31" s="21"/>
      <c r="L31" s="21"/>
      <c r="M31" s="21">
        <v>16</v>
      </c>
      <c r="N31" s="45">
        <v>1</v>
      </c>
      <c r="O31" s="21"/>
      <c r="P31" s="21"/>
      <c r="R31" s="32">
        <v>29</v>
      </c>
      <c r="S31" s="21">
        <v>10</v>
      </c>
      <c r="T31" s="21"/>
      <c r="U31" s="32">
        <v>29</v>
      </c>
      <c r="V31" s="32">
        <v>7</v>
      </c>
    </row>
    <row r="32" spans="1:22" x14ac:dyDescent="0.25">
      <c r="A32" s="32">
        <v>55</v>
      </c>
      <c r="B32" s="34">
        <v>1</v>
      </c>
      <c r="C32" s="21">
        <v>7</v>
      </c>
      <c r="D32">
        <v>29</v>
      </c>
      <c r="E32" s="28">
        <v>0.58333333333333404</v>
      </c>
      <c r="F32" s="21"/>
      <c r="G32" s="21">
        <v>250</v>
      </c>
      <c r="H32" s="32">
        <v>30</v>
      </c>
      <c r="J32" s="21"/>
      <c r="K32" s="21"/>
      <c r="L32" s="21"/>
      <c r="M32" s="21">
        <v>17</v>
      </c>
      <c r="N32" s="45">
        <v>1</v>
      </c>
      <c r="O32" s="21"/>
      <c r="P32" s="21"/>
      <c r="R32" s="32">
        <v>30</v>
      </c>
      <c r="S32" s="21">
        <v>10</v>
      </c>
      <c r="T32" s="21"/>
      <c r="U32" s="32">
        <v>30</v>
      </c>
      <c r="V32" s="32">
        <v>7</v>
      </c>
    </row>
    <row r="33" spans="1:22" x14ac:dyDescent="0.25">
      <c r="A33" s="32">
        <v>60</v>
      </c>
      <c r="B33" s="21"/>
      <c r="C33" s="21">
        <v>7.5</v>
      </c>
      <c r="D33">
        <v>30</v>
      </c>
      <c r="E33" s="28">
        <v>0.60416666666666696</v>
      </c>
      <c r="F33" s="21"/>
      <c r="G33" s="21">
        <v>300</v>
      </c>
      <c r="H33" s="32">
        <v>31</v>
      </c>
      <c r="J33" s="21"/>
      <c r="K33" s="21"/>
      <c r="L33" s="21"/>
      <c r="M33" s="21">
        <v>18</v>
      </c>
      <c r="N33" s="45">
        <v>1</v>
      </c>
      <c r="O33" s="21"/>
      <c r="P33" s="21"/>
      <c r="R33" s="32">
        <v>31</v>
      </c>
      <c r="S33" s="21">
        <v>16</v>
      </c>
      <c r="T33" s="21"/>
      <c r="U33" s="32">
        <v>31</v>
      </c>
      <c r="V33" s="32">
        <v>6</v>
      </c>
    </row>
    <row r="34" spans="1:22" x14ac:dyDescent="0.25">
      <c r="A34" s="32">
        <v>65</v>
      </c>
      <c r="B34" s="6" t="s">
        <v>45</v>
      </c>
      <c r="C34" s="21">
        <v>8</v>
      </c>
      <c r="D34">
        <v>31</v>
      </c>
      <c r="E34" s="28">
        <v>0.625</v>
      </c>
      <c r="F34" s="21"/>
      <c r="G34" s="21">
        <v>350</v>
      </c>
      <c r="H34" s="32">
        <v>32</v>
      </c>
      <c r="J34" s="21"/>
      <c r="K34" s="21"/>
      <c r="L34" s="21"/>
      <c r="M34" s="21">
        <v>19</v>
      </c>
      <c r="N34" s="45">
        <v>1</v>
      </c>
      <c r="O34" s="21"/>
      <c r="P34" s="21"/>
      <c r="R34" s="32">
        <v>32</v>
      </c>
      <c r="S34" s="21">
        <v>16</v>
      </c>
      <c r="T34" s="21"/>
      <c r="U34" s="32">
        <v>32</v>
      </c>
      <c r="V34" s="32">
        <v>6</v>
      </c>
    </row>
    <row r="35" spans="1:22" x14ac:dyDescent="0.25">
      <c r="A35" s="32">
        <v>70</v>
      </c>
      <c r="B35" s="6" t="s">
        <v>46</v>
      </c>
      <c r="C35" s="21">
        <v>8.5</v>
      </c>
      <c r="D35">
        <v>32</v>
      </c>
      <c r="E35" s="28">
        <v>0.64583333333333404</v>
      </c>
      <c r="F35" s="21"/>
      <c r="G35" s="21">
        <v>400</v>
      </c>
      <c r="H35" s="32">
        <v>33</v>
      </c>
      <c r="J35" s="21"/>
      <c r="K35" s="21"/>
      <c r="L35" s="21"/>
      <c r="M35" s="21">
        <v>20</v>
      </c>
      <c r="N35" s="45">
        <v>1</v>
      </c>
      <c r="O35" s="21"/>
      <c r="P35" s="21"/>
      <c r="R35" s="32">
        <v>33</v>
      </c>
      <c r="S35" s="21">
        <v>16</v>
      </c>
      <c r="T35" s="21"/>
      <c r="U35" s="32">
        <v>33</v>
      </c>
      <c r="V35" s="32">
        <v>6</v>
      </c>
    </row>
    <row r="36" spans="1:22" x14ac:dyDescent="0.25">
      <c r="A36" s="32">
        <v>75</v>
      </c>
      <c r="B36" s="6" t="s">
        <v>47</v>
      </c>
      <c r="C36" s="21">
        <v>9</v>
      </c>
      <c r="D36">
        <v>33</v>
      </c>
      <c r="E36" s="28">
        <v>0.66666666666666696</v>
      </c>
      <c r="F36" s="21"/>
      <c r="G36" s="21">
        <v>450</v>
      </c>
      <c r="H36" s="32">
        <v>34</v>
      </c>
      <c r="J36" s="21"/>
      <c r="K36" s="21"/>
      <c r="L36" s="21"/>
      <c r="M36" s="21">
        <v>21</v>
      </c>
      <c r="N36" s="45">
        <v>1</v>
      </c>
      <c r="O36" s="21"/>
      <c r="P36" s="21"/>
      <c r="R36" s="32">
        <v>34</v>
      </c>
      <c r="S36" s="21">
        <v>16</v>
      </c>
      <c r="T36" s="21"/>
      <c r="U36" s="32">
        <v>34</v>
      </c>
      <c r="V36" s="32">
        <v>6</v>
      </c>
    </row>
    <row r="37" spans="1:22" x14ac:dyDescent="0.25">
      <c r="A37" s="32">
        <v>80</v>
      </c>
      <c r="B37" s="6" t="s">
        <v>48</v>
      </c>
      <c r="C37" s="21">
        <v>9.5</v>
      </c>
      <c r="D37">
        <v>34</v>
      </c>
      <c r="E37" s="28">
        <v>0.6875</v>
      </c>
      <c r="F37" s="21"/>
      <c r="G37" s="21">
        <v>500</v>
      </c>
      <c r="H37" s="32">
        <v>35</v>
      </c>
      <c r="J37" s="21"/>
      <c r="K37" s="21"/>
      <c r="L37" s="21"/>
      <c r="M37" s="21">
        <v>22</v>
      </c>
      <c r="N37" s="45">
        <v>1</v>
      </c>
      <c r="O37" s="21"/>
      <c r="P37" s="21"/>
      <c r="R37" s="32">
        <v>35</v>
      </c>
      <c r="S37" s="21">
        <v>16</v>
      </c>
      <c r="T37" s="21"/>
      <c r="U37" s="32">
        <v>35</v>
      </c>
      <c r="V37" s="32">
        <v>6</v>
      </c>
    </row>
    <row r="38" spans="1:22" x14ac:dyDescent="0.25">
      <c r="A38" s="32">
        <v>85</v>
      </c>
      <c r="B38" s="6"/>
      <c r="C38" s="21">
        <v>10</v>
      </c>
      <c r="D38">
        <v>35</v>
      </c>
      <c r="E38" s="28">
        <v>0.70833333333333404</v>
      </c>
      <c r="F38" s="21"/>
      <c r="G38" s="21">
        <v>750</v>
      </c>
      <c r="H38" s="32">
        <v>36</v>
      </c>
      <c r="J38" s="21"/>
      <c r="K38" s="21"/>
      <c r="L38" s="21"/>
      <c r="M38" s="21">
        <v>23</v>
      </c>
      <c r="N38" s="45">
        <v>1</v>
      </c>
      <c r="O38" s="21"/>
      <c r="P38" s="21"/>
      <c r="R38" s="32">
        <v>36</v>
      </c>
      <c r="S38" s="21">
        <v>16</v>
      </c>
      <c r="T38" s="21"/>
      <c r="U38" s="32">
        <v>36</v>
      </c>
      <c r="V38" s="32">
        <v>6</v>
      </c>
    </row>
    <row r="39" spans="1:22" x14ac:dyDescent="0.25">
      <c r="A39" s="32">
        <v>90</v>
      </c>
      <c r="B39" s="6" t="s">
        <v>49</v>
      </c>
      <c r="C39" s="21">
        <v>10.5</v>
      </c>
      <c r="D39">
        <v>36</v>
      </c>
      <c r="E39" s="28">
        <v>0.72916666666666696</v>
      </c>
      <c r="F39" s="21"/>
      <c r="G39" s="21"/>
      <c r="H39" s="21"/>
      <c r="J39" s="21"/>
      <c r="K39" s="21"/>
      <c r="L39" s="21"/>
      <c r="M39" s="21">
        <v>24</v>
      </c>
      <c r="N39" s="45">
        <v>1</v>
      </c>
      <c r="O39" s="21"/>
      <c r="P39" s="21"/>
      <c r="R39" s="32">
        <v>37</v>
      </c>
      <c r="S39" s="21">
        <v>16</v>
      </c>
      <c r="T39" s="21"/>
      <c r="U39" s="32">
        <v>37</v>
      </c>
      <c r="V39" s="32">
        <v>6</v>
      </c>
    </row>
    <row r="40" spans="1:22" x14ac:dyDescent="0.25">
      <c r="A40" s="32">
        <v>95</v>
      </c>
      <c r="B40" s="6" t="s">
        <v>50</v>
      </c>
      <c r="C40" s="21">
        <v>11</v>
      </c>
      <c r="D40">
        <v>37</v>
      </c>
      <c r="E40" s="28">
        <v>0.75</v>
      </c>
      <c r="F40" s="21"/>
      <c r="J40" s="21"/>
      <c r="K40" s="21"/>
      <c r="L40" s="21"/>
      <c r="M40" s="21">
        <v>25</v>
      </c>
      <c r="N40" s="45">
        <v>1</v>
      </c>
      <c r="O40" s="21"/>
      <c r="P40" s="21"/>
      <c r="R40" s="32">
        <v>38</v>
      </c>
      <c r="S40" s="21">
        <v>16</v>
      </c>
      <c r="T40" s="21"/>
      <c r="U40" s="32">
        <v>38</v>
      </c>
      <c r="V40" s="32">
        <v>5</v>
      </c>
    </row>
    <row r="41" spans="1:22" x14ac:dyDescent="0.25">
      <c r="A41" s="32">
        <v>100</v>
      </c>
      <c r="B41" s="21"/>
      <c r="C41" s="21">
        <v>11.5</v>
      </c>
      <c r="D41">
        <v>38</v>
      </c>
      <c r="E41" s="28">
        <v>0.77083333333333404</v>
      </c>
      <c r="F41" s="21"/>
      <c r="J41" s="21"/>
      <c r="K41" s="21"/>
      <c r="L41" s="21"/>
      <c r="M41" s="21">
        <v>26</v>
      </c>
      <c r="N41" s="46">
        <v>0.995</v>
      </c>
      <c r="O41" s="21"/>
      <c r="P41" s="21"/>
      <c r="R41" s="32">
        <v>39</v>
      </c>
      <c r="S41" s="21">
        <v>16</v>
      </c>
      <c r="T41" s="21"/>
      <c r="U41" s="32">
        <v>39</v>
      </c>
      <c r="V41" s="32">
        <v>5</v>
      </c>
    </row>
    <row r="42" spans="1:22" x14ac:dyDescent="0.25">
      <c r="A42" s="21"/>
      <c r="B42" s="21"/>
      <c r="C42" s="21">
        <v>12</v>
      </c>
      <c r="D42">
        <v>39</v>
      </c>
      <c r="E42" s="28">
        <v>0.79166666666666696</v>
      </c>
      <c r="F42" s="21"/>
      <c r="J42" s="21"/>
      <c r="K42" s="21"/>
      <c r="L42" s="21"/>
      <c r="M42" s="21">
        <v>27</v>
      </c>
      <c r="N42" s="45">
        <v>0.99</v>
      </c>
      <c r="O42" s="21"/>
      <c r="P42" s="21"/>
      <c r="R42" s="32">
        <v>40</v>
      </c>
      <c r="S42" s="21">
        <v>16</v>
      </c>
      <c r="T42" s="21"/>
      <c r="U42" s="32">
        <v>40</v>
      </c>
      <c r="V42" s="32">
        <v>5</v>
      </c>
    </row>
    <row r="43" spans="1:22" x14ac:dyDescent="0.25">
      <c r="A43" s="21" t="s">
        <v>100</v>
      </c>
      <c r="B43" s="21"/>
      <c r="C43" s="21">
        <v>12.5</v>
      </c>
      <c r="D43">
        <v>40</v>
      </c>
      <c r="E43" s="28">
        <v>0.8125</v>
      </c>
      <c r="F43" s="21"/>
      <c r="J43" s="21"/>
      <c r="K43" s="21"/>
      <c r="L43" s="21"/>
      <c r="M43" s="21">
        <v>28</v>
      </c>
      <c r="N43" s="46">
        <v>0.98499999999999999</v>
      </c>
      <c r="O43" s="21"/>
      <c r="P43" s="21"/>
      <c r="R43" s="32">
        <v>41</v>
      </c>
      <c r="S43" s="21">
        <v>16</v>
      </c>
      <c r="T43" s="21"/>
      <c r="U43" s="32">
        <v>41</v>
      </c>
      <c r="V43" s="32">
        <v>5</v>
      </c>
    </row>
    <row r="44" spans="1:22" x14ac:dyDescent="0.25">
      <c r="A44">
        <v>1</v>
      </c>
      <c r="C44" s="21">
        <v>13</v>
      </c>
      <c r="D44">
        <v>41</v>
      </c>
      <c r="E44" s="28">
        <v>0.83333333333333404</v>
      </c>
      <c r="F44" s="21"/>
      <c r="J44" s="21"/>
      <c r="K44" s="21"/>
      <c r="L44" s="21"/>
      <c r="M44" s="21">
        <v>29</v>
      </c>
      <c r="N44" s="45">
        <v>0.98</v>
      </c>
      <c r="O44" s="21"/>
      <c r="P44" s="21"/>
      <c r="R44" s="32">
        <v>42</v>
      </c>
      <c r="S44" s="21">
        <v>16</v>
      </c>
      <c r="T44" s="21"/>
      <c r="U44" s="32">
        <v>42</v>
      </c>
      <c r="V44" s="32">
        <v>5</v>
      </c>
    </row>
    <row r="45" spans="1:22" x14ac:dyDescent="0.25">
      <c r="A45">
        <v>1.5</v>
      </c>
      <c r="C45" s="21">
        <v>13.5</v>
      </c>
      <c r="D45">
        <v>42</v>
      </c>
      <c r="E45" s="28">
        <v>0.85416666666666696</v>
      </c>
      <c r="F45" s="21"/>
      <c r="J45" s="21"/>
      <c r="K45" s="21"/>
      <c r="L45" s="21"/>
      <c r="M45" s="21">
        <v>30</v>
      </c>
      <c r="N45" s="46">
        <v>0.97499999999999998</v>
      </c>
      <c r="O45" s="21"/>
      <c r="P45" s="21"/>
      <c r="R45" s="32">
        <v>43</v>
      </c>
      <c r="S45" s="21">
        <v>16</v>
      </c>
      <c r="T45" s="21"/>
      <c r="U45" s="32">
        <v>43</v>
      </c>
      <c r="V45" s="32">
        <v>5</v>
      </c>
    </row>
    <row r="46" spans="1:22" x14ac:dyDescent="0.25">
      <c r="A46">
        <v>2.5</v>
      </c>
      <c r="C46" s="21">
        <v>14</v>
      </c>
      <c r="D46">
        <v>43</v>
      </c>
      <c r="E46" s="28">
        <v>0.875</v>
      </c>
      <c r="F46" s="21"/>
      <c r="J46" s="21"/>
      <c r="K46" s="21"/>
      <c r="L46" s="21"/>
      <c r="M46" s="21">
        <v>31</v>
      </c>
      <c r="N46" s="45">
        <v>0.97</v>
      </c>
      <c r="O46" s="21"/>
      <c r="P46" s="21"/>
      <c r="R46" s="32">
        <v>44</v>
      </c>
      <c r="S46" s="21">
        <v>16</v>
      </c>
      <c r="T46" s="21"/>
      <c r="U46" s="32">
        <v>44</v>
      </c>
      <c r="V46" s="32">
        <v>5</v>
      </c>
    </row>
    <row r="47" spans="1:22" x14ac:dyDescent="0.25">
      <c r="A47">
        <v>4</v>
      </c>
      <c r="C47" s="21">
        <v>14.5</v>
      </c>
      <c r="D47">
        <v>44</v>
      </c>
      <c r="E47" s="28">
        <v>0.89583333333333404</v>
      </c>
      <c r="F47" s="21"/>
      <c r="J47" s="21"/>
      <c r="K47" s="21"/>
      <c r="L47" s="21"/>
      <c r="M47" s="21">
        <v>32</v>
      </c>
      <c r="N47" s="46">
        <v>0.96499999999999997</v>
      </c>
      <c r="O47" s="21"/>
      <c r="P47" s="21"/>
      <c r="R47" s="32">
        <v>45</v>
      </c>
      <c r="S47" s="21">
        <v>16</v>
      </c>
      <c r="T47" s="21"/>
      <c r="U47" s="32">
        <v>45</v>
      </c>
      <c r="V47" s="32">
        <v>5</v>
      </c>
    </row>
    <row r="48" spans="1:22" x14ac:dyDescent="0.25">
      <c r="A48">
        <v>6</v>
      </c>
      <c r="C48" s="21">
        <v>15</v>
      </c>
      <c r="D48">
        <v>45</v>
      </c>
      <c r="E48" s="28">
        <v>0.91666666666666696</v>
      </c>
      <c r="F48" s="21"/>
      <c r="J48" s="21"/>
      <c r="K48" s="21"/>
      <c r="L48" s="21"/>
      <c r="M48" s="21">
        <v>33</v>
      </c>
      <c r="N48" s="45">
        <v>0.96</v>
      </c>
      <c r="O48" s="21"/>
      <c r="P48" s="21"/>
      <c r="R48" s="32">
        <v>46</v>
      </c>
      <c r="S48" s="21">
        <v>16</v>
      </c>
      <c r="T48" s="21"/>
      <c r="U48" s="32">
        <v>46</v>
      </c>
      <c r="V48" s="32">
        <v>5</v>
      </c>
    </row>
    <row r="49" spans="1:22" x14ac:dyDescent="0.25">
      <c r="A49">
        <v>10</v>
      </c>
      <c r="C49" s="21">
        <v>15.5</v>
      </c>
      <c r="D49">
        <v>46</v>
      </c>
      <c r="E49" s="28">
        <v>0.9375</v>
      </c>
      <c r="F49" s="21"/>
      <c r="J49" s="21"/>
      <c r="K49" s="21"/>
      <c r="L49" s="21"/>
      <c r="M49" s="21">
        <v>34</v>
      </c>
      <c r="N49" s="46">
        <v>0.95499999999999996</v>
      </c>
      <c r="O49" s="21"/>
      <c r="P49" s="21"/>
      <c r="R49" s="32">
        <v>47</v>
      </c>
      <c r="S49" s="21">
        <v>16</v>
      </c>
      <c r="T49" s="21"/>
      <c r="U49" s="32">
        <v>47</v>
      </c>
      <c r="V49" s="32">
        <v>5</v>
      </c>
    </row>
    <row r="50" spans="1:22" x14ac:dyDescent="0.25">
      <c r="A50">
        <v>16</v>
      </c>
      <c r="C50" s="21">
        <v>16</v>
      </c>
      <c r="D50">
        <v>47</v>
      </c>
      <c r="E50" s="28">
        <v>0.95833333333333404</v>
      </c>
      <c r="F50" s="21"/>
      <c r="J50" s="21"/>
      <c r="K50" s="21"/>
      <c r="L50" s="21"/>
      <c r="M50" s="21">
        <v>35</v>
      </c>
      <c r="N50" s="45">
        <v>0.95</v>
      </c>
      <c r="O50" s="21"/>
      <c r="P50" s="21"/>
      <c r="R50" s="32">
        <v>48</v>
      </c>
      <c r="S50" s="21">
        <v>25</v>
      </c>
      <c r="T50" s="21"/>
      <c r="U50" s="32">
        <v>48</v>
      </c>
      <c r="V50" s="32">
        <v>4</v>
      </c>
    </row>
    <row r="51" spans="1:22" x14ac:dyDescent="0.25">
      <c r="A51">
        <v>25</v>
      </c>
      <c r="C51" s="21">
        <v>16.5</v>
      </c>
      <c r="D51">
        <v>48</v>
      </c>
      <c r="E51" s="28">
        <v>0.97916666666666696</v>
      </c>
      <c r="F51" s="21"/>
      <c r="J51" s="21"/>
      <c r="K51" s="21"/>
      <c r="L51" s="21"/>
      <c r="M51" s="21">
        <v>36</v>
      </c>
      <c r="N51" s="46">
        <v>0.94499999999999995</v>
      </c>
      <c r="O51" s="21"/>
      <c r="P51" s="21"/>
      <c r="R51" s="32">
        <v>49</v>
      </c>
      <c r="S51" s="21">
        <v>25</v>
      </c>
      <c r="T51" s="21"/>
      <c r="U51" s="32">
        <v>49</v>
      </c>
      <c r="V51" s="32">
        <v>4</v>
      </c>
    </row>
    <row r="52" spans="1:22" x14ac:dyDescent="0.25">
      <c r="A52">
        <v>35</v>
      </c>
      <c r="C52" s="21">
        <v>17</v>
      </c>
      <c r="D52">
        <v>49</v>
      </c>
      <c r="E52" s="21"/>
      <c r="F52" s="21"/>
      <c r="J52" s="21"/>
      <c r="K52" s="21"/>
      <c r="L52" s="21"/>
      <c r="M52" s="21">
        <v>37</v>
      </c>
      <c r="N52" s="45">
        <v>0.94</v>
      </c>
      <c r="O52" s="21"/>
      <c r="P52" s="21"/>
      <c r="R52" s="32">
        <v>50</v>
      </c>
      <c r="S52" s="21">
        <v>25</v>
      </c>
      <c r="T52" s="21"/>
      <c r="U52" s="32">
        <v>50</v>
      </c>
      <c r="V52" s="32">
        <v>4</v>
      </c>
    </row>
    <row r="53" spans="1:22" x14ac:dyDescent="0.25">
      <c r="A53">
        <v>50</v>
      </c>
      <c r="C53" s="21">
        <v>17.5</v>
      </c>
      <c r="D53">
        <v>50</v>
      </c>
      <c r="E53" s="29"/>
      <c r="F53" s="21"/>
      <c r="J53" s="21"/>
      <c r="K53" s="21"/>
      <c r="L53" s="21"/>
      <c r="M53" s="21">
        <v>38</v>
      </c>
      <c r="N53" s="46">
        <v>0.93500000000000005</v>
      </c>
      <c r="O53" s="21"/>
      <c r="P53" s="21"/>
      <c r="R53" s="32">
        <v>51</v>
      </c>
      <c r="S53" s="21">
        <v>25</v>
      </c>
      <c r="T53" s="21"/>
      <c r="U53" s="32">
        <v>51</v>
      </c>
      <c r="V53" s="32">
        <v>4</v>
      </c>
    </row>
    <row r="54" spans="1:22" x14ac:dyDescent="0.25">
      <c r="A54">
        <v>70</v>
      </c>
      <c r="C54" s="21">
        <v>18</v>
      </c>
      <c r="D54">
        <v>51</v>
      </c>
      <c r="E54" s="29"/>
      <c r="F54" s="21" t="s">
        <v>46</v>
      </c>
      <c r="I54" s="21"/>
      <c r="J54" s="21"/>
      <c r="K54" s="21"/>
      <c r="L54" s="21"/>
      <c r="M54" s="21">
        <v>39</v>
      </c>
      <c r="N54" s="45">
        <v>0.93</v>
      </c>
      <c r="O54" s="21"/>
      <c r="P54" s="21"/>
      <c r="R54" s="32">
        <v>52</v>
      </c>
      <c r="S54" s="21">
        <v>25</v>
      </c>
      <c r="T54" s="21"/>
      <c r="U54" s="32">
        <v>52</v>
      </c>
      <c r="V54" s="32">
        <v>4</v>
      </c>
    </row>
    <row r="55" spans="1:22" x14ac:dyDescent="0.25">
      <c r="A55" s="26"/>
      <c r="B55" s="21"/>
      <c r="C55" s="21">
        <v>18.5</v>
      </c>
      <c r="D55">
        <v>52</v>
      </c>
      <c r="E55" s="21"/>
      <c r="F55" s="21" t="s">
        <v>47</v>
      </c>
      <c r="I55" s="21"/>
      <c r="J55" s="21"/>
      <c r="K55" s="21"/>
      <c r="L55" s="21"/>
      <c r="M55" s="21">
        <v>40</v>
      </c>
      <c r="N55" s="46">
        <v>0.92500000000000004</v>
      </c>
      <c r="O55" s="21"/>
      <c r="P55" s="21"/>
      <c r="R55" s="32">
        <v>53</v>
      </c>
      <c r="S55" s="21">
        <v>25</v>
      </c>
      <c r="T55" s="21"/>
      <c r="U55" s="32">
        <v>53</v>
      </c>
      <c r="V55" s="32">
        <v>4</v>
      </c>
    </row>
    <row r="56" spans="1:22" x14ac:dyDescent="0.25">
      <c r="C56" s="21">
        <v>19</v>
      </c>
      <c r="D56">
        <v>53</v>
      </c>
      <c r="E56" s="21"/>
      <c r="F56" s="21"/>
      <c r="H56" s="21" t="s">
        <v>107</v>
      </c>
      <c r="I56" s="21" t="s">
        <v>140</v>
      </c>
      <c r="J56" s="21"/>
      <c r="K56" s="27" t="s">
        <v>106</v>
      </c>
      <c r="L56" s="21" t="s">
        <v>140</v>
      </c>
      <c r="M56" s="21">
        <v>41</v>
      </c>
      <c r="N56" s="45">
        <v>0.92</v>
      </c>
      <c r="O56" s="21"/>
      <c r="P56" s="21"/>
      <c r="R56" s="32">
        <v>54</v>
      </c>
      <c r="S56" s="21">
        <v>25</v>
      </c>
      <c r="T56" s="21"/>
      <c r="U56" s="32">
        <v>54</v>
      </c>
      <c r="V56" s="32">
        <v>4</v>
      </c>
    </row>
    <row r="57" spans="1:22" x14ac:dyDescent="0.25">
      <c r="C57" s="21">
        <v>19.5</v>
      </c>
      <c r="D57">
        <v>54</v>
      </c>
      <c r="E57" s="21"/>
      <c r="F57" s="21"/>
      <c r="H57" s="21">
        <v>95</v>
      </c>
      <c r="I57" s="21">
        <v>302</v>
      </c>
      <c r="J57" s="21"/>
      <c r="K57" s="37" t="s">
        <v>105</v>
      </c>
      <c r="L57" s="21">
        <v>302</v>
      </c>
      <c r="M57" s="21">
        <v>42</v>
      </c>
      <c r="N57" s="46">
        <v>0.91500000000000004</v>
      </c>
      <c r="O57" s="21"/>
      <c r="P57" s="21"/>
      <c r="R57" s="32">
        <v>55</v>
      </c>
      <c r="S57" s="21">
        <v>25</v>
      </c>
      <c r="T57" s="21"/>
      <c r="U57" s="32">
        <v>55</v>
      </c>
      <c r="V57" s="32">
        <v>4</v>
      </c>
    </row>
    <row r="58" spans="1:22" x14ac:dyDescent="0.25">
      <c r="C58" s="21">
        <v>20</v>
      </c>
      <c r="D58">
        <v>55</v>
      </c>
      <c r="E58" s="21"/>
      <c r="F58" s="21"/>
      <c r="H58" s="21">
        <v>70</v>
      </c>
      <c r="I58" s="21">
        <v>239</v>
      </c>
      <c r="J58" s="21"/>
      <c r="K58" s="37" t="s">
        <v>104</v>
      </c>
      <c r="L58" s="21">
        <v>239</v>
      </c>
      <c r="M58" s="21">
        <v>43</v>
      </c>
      <c r="N58" s="45">
        <v>0.91</v>
      </c>
      <c r="O58" s="21"/>
      <c r="P58" s="21"/>
      <c r="R58" s="32">
        <v>56</v>
      </c>
      <c r="S58" s="21">
        <v>25</v>
      </c>
      <c r="T58" s="21"/>
      <c r="U58" s="32">
        <v>56</v>
      </c>
      <c r="V58" s="32">
        <v>4</v>
      </c>
    </row>
    <row r="59" spans="1:22" x14ac:dyDescent="0.25">
      <c r="B59" s="3">
        <v>0.5</v>
      </c>
      <c r="C59" s="21">
        <v>20.5</v>
      </c>
      <c r="D59">
        <v>56</v>
      </c>
      <c r="E59" s="21"/>
      <c r="F59" s="21"/>
      <c r="H59" s="21"/>
      <c r="I59" s="54">
        <v>190</v>
      </c>
      <c r="J59" s="21"/>
      <c r="K59" s="36" t="s">
        <v>103</v>
      </c>
      <c r="L59" s="54">
        <v>190</v>
      </c>
      <c r="M59" s="21">
        <v>44</v>
      </c>
      <c r="N59" s="46">
        <v>0.90500000000000003</v>
      </c>
      <c r="O59" s="21"/>
      <c r="P59" s="21"/>
      <c r="R59" s="32">
        <v>57</v>
      </c>
      <c r="S59" s="21">
        <v>25</v>
      </c>
      <c r="T59" s="21"/>
      <c r="U59" s="32">
        <v>57</v>
      </c>
      <c r="V59" s="32">
        <v>4</v>
      </c>
    </row>
    <row r="60" spans="1:22" x14ac:dyDescent="0.25">
      <c r="C60" s="21">
        <v>21</v>
      </c>
      <c r="D60">
        <v>57</v>
      </c>
      <c r="E60" s="21"/>
      <c r="F60" s="21"/>
      <c r="H60" s="21">
        <v>50</v>
      </c>
      <c r="I60" s="21">
        <v>150</v>
      </c>
      <c r="J60" s="21"/>
      <c r="K60" s="36" t="s">
        <v>102</v>
      </c>
      <c r="L60" s="21">
        <v>150</v>
      </c>
      <c r="M60" s="21">
        <v>45</v>
      </c>
      <c r="N60" s="45">
        <v>0.9</v>
      </c>
      <c r="O60" s="21"/>
      <c r="P60" s="21"/>
      <c r="R60" s="32">
        <v>58</v>
      </c>
      <c r="S60" s="21">
        <v>25</v>
      </c>
      <c r="T60" s="21"/>
      <c r="U60" s="32">
        <v>58</v>
      </c>
      <c r="V60" s="32">
        <v>4</v>
      </c>
    </row>
    <row r="61" spans="1:22" x14ac:dyDescent="0.25">
      <c r="C61" s="21">
        <v>21.5</v>
      </c>
      <c r="D61">
        <v>58</v>
      </c>
      <c r="E61" s="21"/>
      <c r="F61" s="21"/>
      <c r="H61" s="21">
        <v>35</v>
      </c>
      <c r="I61" s="21">
        <v>119</v>
      </c>
      <c r="J61" s="21"/>
      <c r="K61" s="21">
        <v>1</v>
      </c>
      <c r="L61" s="21">
        <v>119</v>
      </c>
      <c r="M61" s="21">
        <v>46</v>
      </c>
      <c r="N61" s="46">
        <v>0.89500000000000002</v>
      </c>
      <c r="O61" s="21"/>
      <c r="P61" s="21"/>
      <c r="R61" s="32">
        <v>59</v>
      </c>
      <c r="S61" s="21">
        <v>25</v>
      </c>
      <c r="T61" s="21"/>
      <c r="U61" s="32">
        <v>59</v>
      </c>
      <c r="V61" s="32">
        <v>4</v>
      </c>
    </row>
    <row r="62" spans="1:22" x14ac:dyDescent="0.25">
      <c r="A62" s="3">
        <f>B117*C113/B113</f>
        <v>8.3333333333333329E-2</v>
      </c>
      <c r="C62" s="21">
        <v>22</v>
      </c>
      <c r="D62">
        <v>59</v>
      </c>
      <c r="E62" s="21"/>
      <c r="F62" s="21"/>
      <c r="H62" s="21"/>
      <c r="I62" s="21">
        <v>94</v>
      </c>
      <c r="J62" s="21"/>
      <c r="K62" s="21">
        <v>2</v>
      </c>
      <c r="L62" s="21">
        <v>94</v>
      </c>
      <c r="M62" s="21">
        <v>47</v>
      </c>
      <c r="N62" s="46">
        <v>0.89</v>
      </c>
      <c r="O62" s="21"/>
      <c r="P62" s="21"/>
      <c r="R62" s="32">
        <v>60</v>
      </c>
      <c r="S62" s="21">
        <v>25</v>
      </c>
      <c r="T62" s="21"/>
      <c r="U62" s="32">
        <v>60</v>
      </c>
      <c r="V62" s="32">
        <v>4</v>
      </c>
    </row>
    <row r="63" spans="1:22" x14ac:dyDescent="0.25">
      <c r="A63" s="3">
        <f>B116*C113/B113</f>
        <v>0.16666666666666666</v>
      </c>
      <c r="C63" s="21">
        <v>22.5</v>
      </c>
      <c r="D63">
        <v>60</v>
      </c>
      <c r="E63" s="21"/>
      <c r="F63" s="21"/>
      <c r="H63" s="21">
        <v>25</v>
      </c>
      <c r="I63" s="21">
        <v>75</v>
      </c>
      <c r="J63" s="21"/>
      <c r="K63" s="21">
        <v>3</v>
      </c>
      <c r="L63" s="21">
        <v>75</v>
      </c>
      <c r="M63" s="21">
        <v>48</v>
      </c>
      <c r="N63" s="45">
        <v>0.88500000000000001</v>
      </c>
      <c r="O63" s="21"/>
      <c r="P63" s="21"/>
      <c r="R63" s="32">
        <v>61</v>
      </c>
      <c r="S63" s="21">
        <v>25</v>
      </c>
      <c r="T63" s="21"/>
      <c r="U63" s="32">
        <v>61</v>
      </c>
      <c r="V63" s="32">
        <v>3</v>
      </c>
    </row>
    <row r="64" spans="1:22" x14ac:dyDescent="0.25">
      <c r="A64" s="3">
        <f>B115*C113/B113</f>
        <v>0.33333333333333331</v>
      </c>
      <c r="C64" s="21">
        <v>23</v>
      </c>
      <c r="D64">
        <v>61</v>
      </c>
      <c r="E64" s="21"/>
      <c r="F64" s="21"/>
      <c r="H64" s="21"/>
      <c r="I64" s="21">
        <v>60</v>
      </c>
      <c r="J64" s="21"/>
      <c r="K64" s="21">
        <v>4</v>
      </c>
      <c r="L64" s="21">
        <v>60</v>
      </c>
      <c r="M64" s="21">
        <v>49</v>
      </c>
      <c r="N64" s="46">
        <v>0.88</v>
      </c>
      <c r="O64" s="21"/>
      <c r="P64" s="21"/>
      <c r="R64" s="32">
        <v>62</v>
      </c>
      <c r="S64" s="21">
        <v>25</v>
      </c>
      <c r="T64" s="21"/>
      <c r="U64" s="32">
        <v>62</v>
      </c>
      <c r="V64" s="32">
        <v>3</v>
      </c>
    </row>
    <row r="65" spans="1:22" x14ac:dyDescent="0.25">
      <c r="A65">
        <v>0.5</v>
      </c>
      <c r="C65" s="21">
        <v>23.5</v>
      </c>
      <c r="D65">
        <v>62</v>
      </c>
      <c r="E65" s="21"/>
      <c r="F65" s="21"/>
      <c r="H65" s="21">
        <v>16</v>
      </c>
      <c r="I65" s="21">
        <v>47</v>
      </c>
      <c r="J65" s="21"/>
      <c r="K65" s="21">
        <v>5</v>
      </c>
      <c r="L65" s="21">
        <v>47</v>
      </c>
      <c r="M65" s="21">
        <v>50</v>
      </c>
      <c r="N65" s="46">
        <v>0.875</v>
      </c>
      <c r="O65" s="21"/>
      <c r="P65" s="21"/>
      <c r="R65" s="32">
        <v>63</v>
      </c>
      <c r="S65" s="21">
        <v>25</v>
      </c>
      <c r="T65" s="21"/>
      <c r="U65" s="32">
        <v>63</v>
      </c>
      <c r="V65" s="32">
        <v>3</v>
      </c>
    </row>
    <row r="66" spans="1:22" x14ac:dyDescent="0.25">
      <c r="A66" s="21">
        <v>1</v>
      </c>
      <c r="C66" s="21">
        <v>24</v>
      </c>
      <c r="D66">
        <v>63</v>
      </c>
      <c r="E66" s="21"/>
      <c r="F66" s="21"/>
      <c r="H66" s="21"/>
      <c r="I66" s="21">
        <v>37</v>
      </c>
      <c r="J66" s="21"/>
      <c r="K66" s="21">
        <v>6</v>
      </c>
      <c r="L66" s="21">
        <v>37</v>
      </c>
      <c r="M66" s="21">
        <v>51</v>
      </c>
      <c r="N66" s="45">
        <v>0.87</v>
      </c>
      <c r="O66" s="21"/>
      <c r="P66" s="21"/>
      <c r="R66" s="32">
        <v>64</v>
      </c>
      <c r="S66" s="21">
        <v>25</v>
      </c>
      <c r="T66" s="21"/>
      <c r="U66" s="32">
        <v>64</v>
      </c>
      <c r="V66">
        <v>3</v>
      </c>
    </row>
    <row r="67" spans="1:22" x14ac:dyDescent="0.25">
      <c r="A67" s="21">
        <v>1.5</v>
      </c>
      <c r="C67" s="21"/>
      <c r="D67">
        <v>64</v>
      </c>
      <c r="E67" s="21"/>
      <c r="F67" s="21"/>
      <c r="H67" s="21">
        <v>10</v>
      </c>
      <c r="I67" s="21">
        <v>30</v>
      </c>
      <c r="J67" s="21"/>
      <c r="K67" s="21">
        <v>7</v>
      </c>
      <c r="L67" s="21">
        <v>30</v>
      </c>
      <c r="M67" s="21">
        <v>52</v>
      </c>
      <c r="N67" s="46">
        <v>0.86499999999999999</v>
      </c>
      <c r="O67" s="21"/>
      <c r="P67" s="21"/>
      <c r="R67" s="32">
        <v>65</v>
      </c>
      <c r="S67" s="21">
        <v>25</v>
      </c>
      <c r="T67" s="21"/>
      <c r="U67" s="32">
        <v>65</v>
      </c>
      <c r="V67" s="32">
        <v>3</v>
      </c>
    </row>
    <row r="68" spans="1:22" x14ac:dyDescent="0.25">
      <c r="A68" s="21">
        <v>2</v>
      </c>
      <c r="C68" s="21"/>
      <c r="D68">
        <v>65</v>
      </c>
      <c r="E68" s="21"/>
      <c r="F68" s="21"/>
      <c r="H68" s="21"/>
      <c r="I68" s="21">
        <v>24</v>
      </c>
      <c r="J68" s="21"/>
      <c r="K68" s="21">
        <v>8</v>
      </c>
      <c r="L68" s="21">
        <v>24</v>
      </c>
      <c r="M68" s="21">
        <v>53</v>
      </c>
      <c r="N68" s="46">
        <v>0.86</v>
      </c>
      <c r="O68" s="21"/>
      <c r="P68" s="21"/>
      <c r="R68" s="32">
        <v>66</v>
      </c>
      <c r="S68" s="21">
        <v>25</v>
      </c>
      <c r="T68" s="21"/>
      <c r="U68" s="32">
        <v>66</v>
      </c>
      <c r="V68" s="32">
        <v>3</v>
      </c>
    </row>
    <row r="69" spans="1:22" x14ac:dyDescent="0.25">
      <c r="A69" s="21">
        <v>2.5</v>
      </c>
      <c r="C69" s="21"/>
      <c r="D69">
        <v>66</v>
      </c>
      <c r="E69" s="21"/>
      <c r="F69" s="21"/>
      <c r="H69" s="21">
        <v>6</v>
      </c>
      <c r="I69" s="21">
        <v>19</v>
      </c>
      <c r="J69" s="21"/>
      <c r="K69" s="21">
        <v>9</v>
      </c>
      <c r="L69" s="21">
        <v>19</v>
      </c>
      <c r="M69" s="21">
        <v>54</v>
      </c>
      <c r="N69" s="45">
        <v>0.85499999999999998</v>
      </c>
      <c r="O69" s="21"/>
      <c r="P69" s="21"/>
      <c r="R69" s="32">
        <v>67</v>
      </c>
      <c r="S69" s="21">
        <v>25</v>
      </c>
      <c r="T69" s="21"/>
      <c r="U69" s="32">
        <v>67</v>
      </c>
      <c r="V69" s="32">
        <v>3</v>
      </c>
    </row>
    <row r="70" spans="1:22" x14ac:dyDescent="0.25">
      <c r="A70" s="21">
        <v>3</v>
      </c>
      <c r="C70" s="21"/>
      <c r="D70">
        <v>67</v>
      </c>
      <c r="E70" s="21"/>
      <c r="F70" s="21"/>
      <c r="H70" s="21"/>
      <c r="I70" s="21">
        <v>15</v>
      </c>
      <c r="J70" s="21"/>
      <c r="K70" s="21">
        <v>10</v>
      </c>
      <c r="L70" s="21">
        <v>15</v>
      </c>
      <c r="M70" s="21">
        <v>55</v>
      </c>
      <c r="N70" s="46">
        <v>0.85</v>
      </c>
      <c r="O70" s="21"/>
      <c r="P70" s="21"/>
      <c r="R70" s="32">
        <v>68</v>
      </c>
      <c r="S70" s="21">
        <v>25</v>
      </c>
      <c r="T70" s="21"/>
      <c r="U70" s="32">
        <v>68</v>
      </c>
      <c r="V70" s="32">
        <v>3</v>
      </c>
    </row>
    <row r="71" spans="1:22" x14ac:dyDescent="0.25">
      <c r="A71" s="21">
        <v>3.5</v>
      </c>
      <c r="C71" s="21"/>
      <c r="D71">
        <v>68</v>
      </c>
      <c r="E71" s="21"/>
      <c r="F71" s="21"/>
      <c r="H71" s="21">
        <v>4</v>
      </c>
      <c r="I71" s="21">
        <v>12</v>
      </c>
      <c r="J71" s="21"/>
      <c r="K71" s="21">
        <v>11</v>
      </c>
      <c r="L71" s="21">
        <v>12</v>
      </c>
      <c r="M71" s="21">
        <v>56</v>
      </c>
      <c r="N71" s="46">
        <v>0.84499999999999997</v>
      </c>
      <c r="O71" s="21"/>
      <c r="P71" s="21"/>
      <c r="R71" s="32">
        <v>69</v>
      </c>
      <c r="S71" s="21">
        <v>25</v>
      </c>
      <c r="T71" s="21"/>
      <c r="U71" s="32">
        <v>69</v>
      </c>
      <c r="V71" s="32">
        <v>3</v>
      </c>
    </row>
    <row r="72" spans="1:22" x14ac:dyDescent="0.25">
      <c r="A72" s="21">
        <v>4</v>
      </c>
      <c r="C72" s="21"/>
      <c r="D72">
        <v>69</v>
      </c>
      <c r="E72" s="21"/>
      <c r="F72" s="21"/>
      <c r="H72" s="21"/>
      <c r="I72" s="21">
        <v>9.3000000000000007</v>
      </c>
      <c r="J72" s="21"/>
      <c r="K72" s="21">
        <v>12</v>
      </c>
      <c r="L72" s="21">
        <v>9.3000000000000007</v>
      </c>
      <c r="M72" s="21">
        <v>57</v>
      </c>
      <c r="N72" s="45">
        <v>0.84</v>
      </c>
      <c r="O72" s="21"/>
      <c r="P72" s="21"/>
      <c r="R72" s="32">
        <v>70</v>
      </c>
      <c r="S72" s="21">
        <v>25</v>
      </c>
      <c r="T72" s="21"/>
      <c r="U72" s="32">
        <v>70</v>
      </c>
      <c r="V72" s="32">
        <v>3</v>
      </c>
    </row>
    <row r="73" spans="1:22" x14ac:dyDescent="0.25">
      <c r="A73" s="21">
        <v>4.5</v>
      </c>
      <c r="C73" s="21"/>
      <c r="D73">
        <v>70</v>
      </c>
      <c r="E73" s="21"/>
      <c r="F73" s="21"/>
      <c r="H73" s="21">
        <v>2.5</v>
      </c>
      <c r="I73" s="21">
        <v>7.4</v>
      </c>
      <c r="J73" s="21"/>
      <c r="K73" s="21">
        <v>13</v>
      </c>
      <c r="L73" s="21">
        <v>7.4</v>
      </c>
      <c r="M73" s="21">
        <v>58</v>
      </c>
      <c r="N73" s="46">
        <v>0.83499999999999996</v>
      </c>
      <c r="O73" s="21"/>
      <c r="P73" s="21"/>
      <c r="R73" s="32">
        <v>71</v>
      </c>
      <c r="S73" s="21">
        <v>25</v>
      </c>
      <c r="T73" s="21"/>
      <c r="U73" s="32">
        <v>71</v>
      </c>
      <c r="V73" s="32">
        <v>3</v>
      </c>
    </row>
    <row r="74" spans="1:22" x14ac:dyDescent="0.25">
      <c r="A74" s="21">
        <v>5</v>
      </c>
      <c r="C74" s="21"/>
      <c r="D74">
        <v>71</v>
      </c>
      <c r="E74" s="21"/>
      <c r="F74" s="21"/>
      <c r="H74" s="21"/>
      <c r="I74" s="21">
        <v>5.9</v>
      </c>
      <c r="J74" s="21"/>
      <c r="K74" s="21">
        <v>14</v>
      </c>
      <c r="L74" s="21">
        <v>5.9</v>
      </c>
      <c r="M74" s="21">
        <v>59</v>
      </c>
      <c r="N74" s="46">
        <v>0.83</v>
      </c>
      <c r="O74" s="21"/>
      <c r="P74" s="21"/>
      <c r="R74" s="32">
        <v>72</v>
      </c>
      <c r="S74" s="21">
        <v>25</v>
      </c>
      <c r="T74" s="21"/>
      <c r="U74" s="32">
        <v>72</v>
      </c>
      <c r="V74" s="32">
        <v>3</v>
      </c>
    </row>
    <row r="75" spans="1:22" x14ac:dyDescent="0.25">
      <c r="A75" s="21">
        <v>5.5</v>
      </c>
      <c r="C75" s="21"/>
      <c r="D75">
        <v>72</v>
      </c>
      <c r="E75" s="21"/>
      <c r="F75" s="21"/>
      <c r="H75" s="21">
        <v>1.5</v>
      </c>
      <c r="I75" s="21">
        <v>4.7</v>
      </c>
      <c r="J75" s="21"/>
      <c r="K75" s="21">
        <v>15</v>
      </c>
      <c r="L75" s="21">
        <v>4.7</v>
      </c>
      <c r="M75" s="21">
        <v>60</v>
      </c>
      <c r="N75" s="45">
        <v>0.82499999999999996</v>
      </c>
      <c r="O75" s="21"/>
      <c r="P75" s="21"/>
      <c r="R75" s="32">
        <v>73</v>
      </c>
      <c r="S75" s="21">
        <v>25</v>
      </c>
      <c r="T75" s="21"/>
      <c r="U75" s="32">
        <v>73</v>
      </c>
      <c r="V75" s="32">
        <v>3</v>
      </c>
    </row>
    <row r="76" spans="1:22" x14ac:dyDescent="0.25">
      <c r="A76" s="21">
        <v>6</v>
      </c>
      <c r="D76">
        <v>73</v>
      </c>
      <c r="H76" s="32"/>
      <c r="I76" s="21">
        <v>3.7</v>
      </c>
      <c r="K76" s="21">
        <v>16</v>
      </c>
      <c r="L76" s="21">
        <v>3.7</v>
      </c>
      <c r="M76" s="21">
        <v>61</v>
      </c>
      <c r="N76" s="46">
        <v>0.82</v>
      </c>
      <c r="R76" s="32">
        <v>74</v>
      </c>
      <c r="S76" s="21">
        <v>25</v>
      </c>
      <c r="T76" s="21"/>
      <c r="U76" s="32">
        <v>74</v>
      </c>
      <c r="V76" s="32">
        <v>3</v>
      </c>
    </row>
    <row r="77" spans="1:22" x14ac:dyDescent="0.25">
      <c r="A77" s="21">
        <v>6.5</v>
      </c>
      <c r="D77">
        <v>74</v>
      </c>
      <c r="H77" s="32">
        <v>1</v>
      </c>
      <c r="I77" s="21">
        <v>2.2999999999999998</v>
      </c>
      <c r="K77" s="21">
        <v>17</v>
      </c>
      <c r="L77" s="21">
        <v>2.2999999999999998</v>
      </c>
      <c r="M77" s="21">
        <v>62</v>
      </c>
      <c r="N77" s="46">
        <v>0.81499999999999995</v>
      </c>
      <c r="R77" s="32">
        <v>75</v>
      </c>
      <c r="S77" s="21">
        <v>25</v>
      </c>
      <c r="T77" s="21"/>
      <c r="U77" s="32">
        <v>75</v>
      </c>
      <c r="V77" s="32">
        <v>3</v>
      </c>
    </row>
    <row r="78" spans="1:22" x14ac:dyDescent="0.25">
      <c r="A78" s="21">
        <v>7</v>
      </c>
      <c r="D78">
        <v>75</v>
      </c>
      <c r="I78" s="21">
        <v>2</v>
      </c>
      <c r="K78" s="21">
        <v>18</v>
      </c>
      <c r="L78" s="21">
        <v>2</v>
      </c>
      <c r="M78" s="21">
        <v>63</v>
      </c>
      <c r="N78" s="46">
        <v>0.81</v>
      </c>
      <c r="R78" s="32">
        <v>76</v>
      </c>
      <c r="S78" s="21">
        <v>35</v>
      </c>
      <c r="T78" s="21"/>
      <c r="U78" s="32">
        <v>76</v>
      </c>
      <c r="V78" s="32">
        <v>2</v>
      </c>
    </row>
    <row r="79" spans="1:22" x14ac:dyDescent="0.25">
      <c r="A79" s="21">
        <v>7.5</v>
      </c>
      <c r="D79">
        <v>76</v>
      </c>
      <c r="I79" s="21">
        <v>1.8</v>
      </c>
      <c r="K79" s="21">
        <v>19</v>
      </c>
      <c r="L79" s="21">
        <v>1.8</v>
      </c>
      <c r="M79" s="21">
        <v>64</v>
      </c>
      <c r="N79" s="46">
        <v>0.80500000000000005</v>
      </c>
      <c r="R79" s="32">
        <v>77</v>
      </c>
      <c r="S79" s="21">
        <v>35</v>
      </c>
      <c r="T79" s="21"/>
      <c r="U79" s="32">
        <v>77</v>
      </c>
      <c r="V79" s="32">
        <v>2</v>
      </c>
    </row>
    <row r="80" spans="1:22" x14ac:dyDescent="0.25">
      <c r="A80" s="21">
        <v>8</v>
      </c>
      <c r="D80">
        <v>77</v>
      </c>
      <c r="I80" s="21">
        <v>1.5</v>
      </c>
      <c r="K80" s="21">
        <v>20</v>
      </c>
      <c r="L80" s="21">
        <v>1.5</v>
      </c>
      <c r="M80" s="21">
        <v>65</v>
      </c>
      <c r="N80" s="46">
        <v>0.8</v>
      </c>
      <c r="R80" s="32">
        <v>78</v>
      </c>
      <c r="S80" s="21">
        <v>35</v>
      </c>
      <c r="T80" s="21"/>
      <c r="U80" s="32">
        <v>78</v>
      </c>
      <c r="V80" s="32">
        <v>2</v>
      </c>
    </row>
    <row r="81" spans="1:22" x14ac:dyDescent="0.25">
      <c r="A81" s="21">
        <v>8.5</v>
      </c>
      <c r="D81">
        <v>78</v>
      </c>
      <c r="I81" s="21">
        <v>1.2</v>
      </c>
      <c r="K81" s="21">
        <v>21</v>
      </c>
      <c r="L81" s="21">
        <v>1.2</v>
      </c>
      <c r="M81" s="21">
        <v>66</v>
      </c>
      <c r="N81" s="46">
        <v>0.79500000000000004</v>
      </c>
      <c r="R81" s="32">
        <v>79</v>
      </c>
      <c r="S81" s="21">
        <v>35</v>
      </c>
      <c r="T81" s="21"/>
      <c r="U81" s="32">
        <v>79</v>
      </c>
      <c r="V81" s="32">
        <v>2</v>
      </c>
    </row>
    <row r="82" spans="1:22" x14ac:dyDescent="0.25">
      <c r="A82" s="21">
        <v>9</v>
      </c>
      <c r="D82">
        <v>79</v>
      </c>
      <c r="I82" s="21">
        <v>0.92</v>
      </c>
      <c r="K82" s="21">
        <v>22</v>
      </c>
      <c r="L82" s="21">
        <v>0.92</v>
      </c>
      <c r="M82" s="21">
        <v>67</v>
      </c>
      <c r="N82" s="46">
        <v>0.79</v>
      </c>
      <c r="R82" s="32">
        <v>80</v>
      </c>
      <c r="S82" s="21">
        <v>35</v>
      </c>
      <c r="T82" s="21"/>
      <c r="U82" s="32">
        <v>80</v>
      </c>
      <c r="V82" s="32">
        <v>2</v>
      </c>
    </row>
    <row r="83" spans="1:22" x14ac:dyDescent="0.25">
      <c r="A83" s="21">
        <v>9.5</v>
      </c>
      <c r="D83">
        <v>80</v>
      </c>
      <c r="I83" s="21">
        <v>0.72899999999999998</v>
      </c>
      <c r="K83" s="21">
        <v>23</v>
      </c>
      <c r="L83" s="21">
        <v>0.72899999999999998</v>
      </c>
      <c r="M83" s="21">
        <v>68</v>
      </c>
      <c r="N83" s="46">
        <v>0.78500000000000003</v>
      </c>
      <c r="R83" s="32">
        <v>81</v>
      </c>
      <c r="S83" s="21">
        <v>35</v>
      </c>
      <c r="T83" s="21"/>
      <c r="U83" s="32">
        <v>81</v>
      </c>
      <c r="V83" s="32">
        <v>2</v>
      </c>
    </row>
    <row r="84" spans="1:22" x14ac:dyDescent="0.25">
      <c r="A84" s="21">
        <v>10</v>
      </c>
      <c r="D84">
        <v>81</v>
      </c>
      <c r="I84" s="21">
        <v>0.57699999999999996</v>
      </c>
      <c r="K84" s="21">
        <v>24</v>
      </c>
      <c r="L84" s="21">
        <v>0.57699999999999996</v>
      </c>
      <c r="M84" s="21">
        <v>69</v>
      </c>
      <c r="N84" s="46">
        <v>0.78</v>
      </c>
      <c r="R84" s="32">
        <v>82</v>
      </c>
      <c r="S84" s="21">
        <v>35</v>
      </c>
      <c r="T84" s="21"/>
      <c r="U84" s="32">
        <v>82</v>
      </c>
      <c r="V84" s="32">
        <v>2</v>
      </c>
    </row>
    <row r="85" spans="1:22" x14ac:dyDescent="0.25">
      <c r="A85" s="21">
        <v>10.5</v>
      </c>
      <c r="D85">
        <v>82</v>
      </c>
      <c r="I85" s="21">
        <v>0.45700000000000002</v>
      </c>
      <c r="K85" s="21">
        <v>25</v>
      </c>
      <c r="L85" s="21">
        <v>0.45700000000000002</v>
      </c>
      <c r="M85" s="21">
        <v>70</v>
      </c>
      <c r="N85" s="46">
        <v>0.77500000000000002</v>
      </c>
      <c r="R85" s="32">
        <v>83</v>
      </c>
      <c r="S85" s="21">
        <v>35</v>
      </c>
      <c r="T85" s="21"/>
      <c r="U85" s="32">
        <v>83</v>
      </c>
      <c r="V85" s="32">
        <v>2</v>
      </c>
    </row>
    <row r="86" spans="1:22" x14ac:dyDescent="0.25">
      <c r="A86" s="21">
        <v>11</v>
      </c>
      <c r="D86">
        <v>83</v>
      </c>
      <c r="I86" s="21">
        <v>0.36099999999999999</v>
      </c>
      <c r="K86" s="21">
        <v>26</v>
      </c>
      <c r="L86" s="21">
        <v>0.36099999999999999</v>
      </c>
      <c r="M86" s="21">
        <v>71</v>
      </c>
      <c r="N86" s="46">
        <v>0.77</v>
      </c>
      <c r="R86" s="32">
        <v>84</v>
      </c>
      <c r="S86" s="21">
        <v>35</v>
      </c>
      <c r="T86" s="21"/>
      <c r="U86" s="32">
        <v>84</v>
      </c>
      <c r="V86" s="32">
        <v>2</v>
      </c>
    </row>
    <row r="87" spans="1:22" x14ac:dyDescent="0.25">
      <c r="A87" s="21">
        <v>11.5</v>
      </c>
      <c r="D87">
        <v>84</v>
      </c>
      <c r="I87" s="21">
        <v>0.28799999999999998</v>
      </c>
      <c r="K87" s="21">
        <v>27</v>
      </c>
      <c r="L87" s="21">
        <v>0.28799999999999998</v>
      </c>
      <c r="M87" s="21">
        <v>72</v>
      </c>
      <c r="N87" s="46">
        <v>0.76500000000000001</v>
      </c>
      <c r="R87" s="32">
        <v>85</v>
      </c>
      <c r="S87" s="21">
        <v>35</v>
      </c>
      <c r="T87" s="21"/>
      <c r="U87" s="32">
        <v>85</v>
      </c>
      <c r="V87" s="32">
        <v>2</v>
      </c>
    </row>
    <row r="88" spans="1:22" x14ac:dyDescent="0.25">
      <c r="A88" s="21">
        <v>12</v>
      </c>
      <c r="D88">
        <v>85</v>
      </c>
      <c r="I88" s="21">
        <v>0.22600000000000001</v>
      </c>
      <c r="K88" s="21">
        <v>28</v>
      </c>
      <c r="L88" s="21">
        <v>0.22600000000000001</v>
      </c>
      <c r="M88" s="21">
        <v>73</v>
      </c>
      <c r="N88" s="46">
        <v>0.76</v>
      </c>
      <c r="R88" s="32">
        <v>86</v>
      </c>
      <c r="S88" s="21">
        <v>35</v>
      </c>
      <c r="T88" s="21"/>
      <c r="U88" s="32">
        <v>86</v>
      </c>
      <c r="V88" s="32">
        <v>2</v>
      </c>
    </row>
    <row r="89" spans="1:22" x14ac:dyDescent="0.25">
      <c r="A89" s="21">
        <v>12.5</v>
      </c>
      <c r="D89">
        <v>86</v>
      </c>
      <c r="I89" s="21">
        <v>0.182</v>
      </c>
      <c r="K89" s="21">
        <v>29</v>
      </c>
      <c r="L89" s="21">
        <v>0.182</v>
      </c>
      <c r="M89" s="21">
        <v>74</v>
      </c>
      <c r="N89" s="46">
        <v>0.755</v>
      </c>
      <c r="R89" s="32">
        <v>87</v>
      </c>
      <c r="S89" s="21">
        <v>35</v>
      </c>
      <c r="T89" s="21"/>
      <c r="U89" s="32">
        <v>87</v>
      </c>
      <c r="V89" s="32">
        <v>2</v>
      </c>
    </row>
    <row r="90" spans="1:22" x14ac:dyDescent="0.25">
      <c r="A90" s="21">
        <v>13</v>
      </c>
      <c r="D90">
        <v>87</v>
      </c>
      <c r="I90" s="21">
        <v>0.14199999999999999</v>
      </c>
      <c r="K90" s="21">
        <v>30</v>
      </c>
      <c r="L90" s="21">
        <v>0.14199999999999999</v>
      </c>
      <c r="M90" s="21">
        <v>75</v>
      </c>
      <c r="N90" s="46">
        <v>0.75</v>
      </c>
      <c r="R90" s="32">
        <v>88</v>
      </c>
      <c r="S90" s="21">
        <v>35</v>
      </c>
      <c r="T90" s="21"/>
      <c r="U90" s="32">
        <v>88</v>
      </c>
      <c r="V90" s="32">
        <v>2</v>
      </c>
    </row>
    <row r="91" spans="1:22" x14ac:dyDescent="0.25">
      <c r="A91" s="21">
        <v>13.5</v>
      </c>
      <c r="D91">
        <v>88</v>
      </c>
      <c r="I91" s="21">
        <v>0.113</v>
      </c>
      <c r="K91" s="21">
        <v>31</v>
      </c>
      <c r="L91" s="21">
        <v>0.113</v>
      </c>
      <c r="R91" s="32">
        <v>89</v>
      </c>
      <c r="S91" s="21">
        <v>35</v>
      </c>
      <c r="T91" s="21"/>
      <c r="U91" s="32">
        <v>89</v>
      </c>
      <c r="V91" s="32">
        <v>2</v>
      </c>
    </row>
    <row r="92" spans="1:22" x14ac:dyDescent="0.25">
      <c r="A92" s="21">
        <v>14</v>
      </c>
      <c r="D92">
        <v>89</v>
      </c>
      <c r="F92" s="32" t="s">
        <v>129</v>
      </c>
      <c r="G92" s="32" t="s">
        <v>130</v>
      </c>
      <c r="I92" s="21">
        <v>9.0999999999999998E-2</v>
      </c>
      <c r="K92" s="21">
        <v>32</v>
      </c>
      <c r="L92" s="21">
        <v>9.0999999999999998E-2</v>
      </c>
      <c r="R92" s="32">
        <v>90</v>
      </c>
      <c r="S92" s="21">
        <v>35</v>
      </c>
      <c r="T92" s="21"/>
      <c r="U92" s="32">
        <v>90</v>
      </c>
      <c r="V92" s="32">
        <v>2</v>
      </c>
    </row>
    <row r="93" spans="1:22" x14ac:dyDescent="0.25">
      <c r="A93" s="21">
        <v>14.5</v>
      </c>
      <c r="D93">
        <v>90</v>
      </c>
      <c r="I93" s="21">
        <v>7.1999999999999995E-2</v>
      </c>
      <c r="K93" s="21">
        <v>33</v>
      </c>
      <c r="L93" s="21">
        <v>7.1999999999999995E-2</v>
      </c>
      <c r="R93" s="32">
        <v>91</v>
      </c>
      <c r="S93" s="21">
        <v>35</v>
      </c>
      <c r="T93" s="21"/>
      <c r="U93" s="32">
        <v>91</v>
      </c>
      <c r="V93" s="32">
        <v>2</v>
      </c>
    </row>
    <row r="94" spans="1:22" x14ac:dyDescent="0.25">
      <c r="A94" s="21">
        <v>15</v>
      </c>
      <c r="D94">
        <v>91</v>
      </c>
      <c r="F94">
        <v>0</v>
      </c>
      <c r="G94">
        <v>5</v>
      </c>
      <c r="I94" s="21">
        <v>5.6000000000000001E-2</v>
      </c>
      <c r="K94" s="21">
        <v>34</v>
      </c>
      <c r="L94" s="21">
        <v>5.6000000000000001E-2</v>
      </c>
      <c r="R94" s="32">
        <v>92</v>
      </c>
      <c r="S94" s="21">
        <v>35</v>
      </c>
      <c r="T94" s="21"/>
      <c r="U94" s="32">
        <v>92</v>
      </c>
      <c r="V94" s="32">
        <v>2</v>
      </c>
    </row>
    <row r="95" spans="1:22" x14ac:dyDescent="0.25">
      <c r="A95" s="21">
        <v>15.5</v>
      </c>
      <c r="D95">
        <v>92</v>
      </c>
      <c r="F95">
        <v>1</v>
      </c>
      <c r="G95">
        <f>ROUNDUP(3.7+0.75*F95,0)</f>
        <v>5</v>
      </c>
      <c r="I95" s="21">
        <v>4.3999999999999997E-2</v>
      </c>
      <c r="K95" s="21">
        <v>35</v>
      </c>
      <c r="L95" s="21">
        <v>4.3999999999999997E-2</v>
      </c>
      <c r="R95" s="32">
        <v>93</v>
      </c>
      <c r="S95" s="21">
        <v>35</v>
      </c>
      <c r="T95" s="21"/>
      <c r="U95" s="32">
        <v>93</v>
      </c>
      <c r="V95" s="32">
        <v>2</v>
      </c>
    </row>
    <row r="96" spans="1:22" x14ac:dyDescent="0.25">
      <c r="A96" s="21">
        <v>16</v>
      </c>
      <c r="D96">
        <v>93</v>
      </c>
      <c r="F96">
        <v>2</v>
      </c>
      <c r="G96" s="32">
        <f t="shared" ref="G96:G149" si="0">ROUNDUP(3.7+0.75*F96,0)</f>
        <v>6</v>
      </c>
      <c r="I96" s="21">
        <v>3.5000000000000003E-2</v>
      </c>
      <c r="K96" s="21">
        <v>36</v>
      </c>
      <c r="L96" s="21">
        <v>3.5000000000000003E-2</v>
      </c>
      <c r="R96" s="32">
        <v>94</v>
      </c>
      <c r="S96" s="21">
        <v>35</v>
      </c>
      <c r="T96" s="21"/>
      <c r="U96" s="32">
        <v>94</v>
      </c>
      <c r="V96" s="32">
        <v>2</v>
      </c>
    </row>
    <row r="97" spans="1:22" x14ac:dyDescent="0.25">
      <c r="A97" s="21">
        <v>16.5</v>
      </c>
      <c r="D97">
        <v>94</v>
      </c>
      <c r="F97">
        <v>3</v>
      </c>
      <c r="G97" s="32">
        <f t="shared" si="0"/>
        <v>6</v>
      </c>
      <c r="I97" s="21">
        <v>2.8899999999999999E-2</v>
      </c>
      <c r="K97" s="21">
        <v>37</v>
      </c>
      <c r="L97" s="21">
        <v>2.8899999999999999E-2</v>
      </c>
      <c r="R97" s="32">
        <v>95</v>
      </c>
      <c r="S97" s="21">
        <v>35</v>
      </c>
      <c r="T97" s="21"/>
      <c r="U97" s="32">
        <v>95</v>
      </c>
      <c r="V97" s="32">
        <v>1</v>
      </c>
    </row>
    <row r="98" spans="1:22" x14ac:dyDescent="0.25">
      <c r="A98" s="21">
        <v>17</v>
      </c>
      <c r="D98">
        <v>95</v>
      </c>
      <c r="F98" s="32">
        <v>4</v>
      </c>
      <c r="G98" s="32">
        <f t="shared" si="0"/>
        <v>7</v>
      </c>
      <c r="I98" s="21">
        <v>2.2800000000000001E-2</v>
      </c>
      <c r="K98" s="21">
        <v>38</v>
      </c>
      <c r="L98" s="21">
        <v>2.2800000000000001E-2</v>
      </c>
      <c r="R98" s="32">
        <v>96</v>
      </c>
      <c r="S98" s="21">
        <v>35</v>
      </c>
      <c r="T98" s="21"/>
      <c r="U98" s="32">
        <v>96</v>
      </c>
      <c r="V98" s="32">
        <v>1</v>
      </c>
    </row>
    <row r="99" spans="1:22" x14ac:dyDescent="0.25">
      <c r="A99" s="21">
        <v>17.5</v>
      </c>
      <c r="D99">
        <v>96</v>
      </c>
      <c r="F99" s="32">
        <v>5</v>
      </c>
      <c r="G99" s="32">
        <f t="shared" si="0"/>
        <v>8</v>
      </c>
      <c r="I99" s="21">
        <v>1.7500000000000002E-2</v>
      </c>
      <c r="K99" s="21">
        <v>39</v>
      </c>
      <c r="L99" s="21">
        <v>1.7500000000000002E-2</v>
      </c>
      <c r="R99" s="32">
        <v>97</v>
      </c>
      <c r="S99" s="21">
        <v>35</v>
      </c>
      <c r="T99" s="21"/>
      <c r="U99" s="32">
        <v>97</v>
      </c>
      <c r="V99" s="32">
        <v>1</v>
      </c>
    </row>
    <row r="100" spans="1:22" x14ac:dyDescent="0.25">
      <c r="A100" s="21">
        <v>18</v>
      </c>
      <c r="D100">
        <v>97</v>
      </c>
      <c r="F100" s="32">
        <v>6</v>
      </c>
      <c r="G100" s="32">
        <f t="shared" si="0"/>
        <v>9</v>
      </c>
      <c r="I100" s="21">
        <v>1.37E-2</v>
      </c>
      <c r="K100" s="21">
        <v>40</v>
      </c>
      <c r="L100" s="21">
        <v>1.37E-2</v>
      </c>
      <c r="R100" s="32">
        <v>98</v>
      </c>
      <c r="S100" s="21">
        <v>35</v>
      </c>
      <c r="T100" s="21"/>
      <c r="U100" s="32">
        <v>98</v>
      </c>
      <c r="V100" s="32">
        <v>1</v>
      </c>
    </row>
    <row r="101" spans="1:22" x14ac:dyDescent="0.25">
      <c r="A101" s="21">
        <v>18.5</v>
      </c>
      <c r="D101">
        <v>98</v>
      </c>
      <c r="F101" s="32">
        <v>7</v>
      </c>
      <c r="G101" s="32">
        <f t="shared" si="0"/>
        <v>9</v>
      </c>
      <c r="R101" s="32">
        <v>99</v>
      </c>
      <c r="S101" s="21">
        <v>35</v>
      </c>
      <c r="T101" s="21"/>
      <c r="U101" s="32">
        <v>99</v>
      </c>
      <c r="V101" s="32">
        <v>1</v>
      </c>
    </row>
    <row r="102" spans="1:22" x14ac:dyDescent="0.25">
      <c r="A102" s="21">
        <v>19</v>
      </c>
      <c r="D102">
        <v>99</v>
      </c>
      <c r="F102" s="32">
        <v>8</v>
      </c>
      <c r="G102" s="32">
        <f t="shared" si="0"/>
        <v>10</v>
      </c>
      <c r="R102" s="32">
        <v>100</v>
      </c>
      <c r="S102" s="21">
        <v>35</v>
      </c>
      <c r="T102" s="21"/>
      <c r="U102" s="32">
        <v>100</v>
      </c>
      <c r="V102" s="32">
        <v>1</v>
      </c>
    </row>
    <row r="103" spans="1:22" x14ac:dyDescent="0.25">
      <c r="A103" s="21">
        <v>19.5</v>
      </c>
      <c r="F103" s="32">
        <v>9</v>
      </c>
      <c r="G103" s="32">
        <f t="shared" si="0"/>
        <v>11</v>
      </c>
      <c r="R103" s="32">
        <v>101</v>
      </c>
      <c r="S103" s="21">
        <v>35</v>
      </c>
      <c r="T103" s="21"/>
      <c r="U103" s="32">
        <v>101</v>
      </c>
      <c r="V103" s="32">
        <v>1</v>
      </c>
    </row>
    <row r="104" spans="1:22" x14ac:dyDescent="0.25">
      <c r="A104" s="21">
        <v>20</v>
      </c>
      <c r="F104" s="32">
        <v>10</v>
      </c>
      <c r="G104" s="32">
        <f t="shared" si="0"/>
        <v>12</v>
      </c>
      <c r="R104" s="32">
        <v>102</v>
      </c>
      <c r="S104" s="21">
        <v>35</v>
      </c>
      <c r="T104" s="21"/>
      <c r="U104" s="32">
        <v>102</v>
      </c>
      <c r="V104" s="32">
        <v>1</v>
      </c>
    </row>
    <row r="105" spans="1:22" x14ac:dyDescent="0.25">
      <c r="A105" s="21">
        <v>20.5</v>
      </c>
      <c r="F105" s="32">
        <v>11</v>
      </c>
      <c r="G105" s="32">
        <f t="shared" si="0"/>
        <v>12</v>
      </c>
      <c r="R105" s="32">
        <v>103</v>
      </c>
      <c r="S105" s="21">
        <v>35</v>
      </c>
      <c r="T105" s="21"/>
      <c r="U105" s="32">
        <v>103</v>
      </c>
      <c r="V105" s="32">
        <v>1</v>
      </c>
    </row>
    <row r="106" spans="1:22" x14ac:dyDescent="0.25">
      <c r="A106" s="21">
        <v>21</v>
      </c>
      <c r="F106" s="32">
        <v>12</v>
      </c>
      <c r="G106" s="32">
        <f t="shared" si="0"/>
        <v>13</v>
      </c>
      <c r="R106" s="32">
        <v>104</v>
      </c>
      <c r="S106" s="21">
        <v>35</v>
      </c>
      <c r="T106" s="21"/>
      <c r="U106" s="32">
        <v>104</v>
      </c>
      <c r="V106" s="32">
        <v>1</v>
      </c>
    </row>
    <row r="107" spans="1:22" x14ac:dyDescent="0.25">
      <c r="A107" s="21">
        <v>21.5</v>
      </c>
      <c r="F107" s="32">
        <v>13</v>
      </c>
      <c r="G107" s="32">
        <f t="shared" si="0"/>
        <v>14</v>
      </c>
      <c r="R107" s="32">
        <v>105</v>
      </c>
      <c r="S107" s="21">
        <v>35</v>
      </c>
      <c r="T107" s="21"/>
      <c r="U107" s="32">
        <v>105</v>
      </c>
      <c r="V107" s="32">
        <v>1</v>
      </c>
    </row>
    <row r="108" spans="1:22" x14ac:dyDescent="0.25">
      <c r="A108" s="21">
        <v>22</v>
      </c>
      <c r="F108" s="32">
        <v>14</v>
      </c>
      <c r="G108" s="32">
        <f t="shared" si="0"/>
        <v>15</v>
      </c>
      <c r="R108" s="32">
        <v>106</v>
      </c>
      <c r="S108" s="21">
        <v>35</v>
      </c>
      <c r="T108" s="21"/>
      <c r="U108" s="32">
        <v>106</v>
      </c>
      <c r="V108" s="32">
        <v>1</v>
      </c>
    </row>
    <row r="109" spans="1:22" x14ac:dyDescent="0.25">
      <c r="A109" s="21">
        <v>22.5</v>
      </c>
      <c r="F109" s="32">
        <v>15</v>
      </c>
      <c r="G109" s="32">
        <f t="shared" si="0"/>
        <v>15</v>
      </c>
      <c r="R109" s="32">
        <v>107</v>
      </c>
      <c r="S109" s="21">
        <v>35</v>
      </c>
      <c r="T109" s="21"/>
      <c r="U109" s="32">
        <v>107</v>
      </c>
      <c r="V109" s="32">
        <v>1</v>
      </c>
    </row>
    <row r="110" spans="1:22" x14ac:dyDescent="0.25">
      <c r="A110" s="21">
        <v>23</v>
      </c>
      <c r="F110" s="32">
        <v>16</v>
      </c>
      <c r="G110" s="32">
        <f t="shared" si="0"/>
        <v>16</v>
      </c>
      <c r="R110" s="32">
        <v>108</v>
      </c>
      <c r="S110" s="21">
        <v>35</v>
      </c>
      <c r="T110" s="21"/>
      <c r="U110" s="32">
        <v>108</v>
      </c>
      <c r="V110" s="32">
        <v>1</v>
      </c>
    </row>
    <row r="111" spans="1:22" x14ac:dyDescent="0.25">
      <c r="A111" s="21">
        <v>23.5</v>
      </c>
      <c r="F111" s="32">
        <v>17</v>
      </c>
      <c r="G111" s="32">
        <f t="shared" si="0"/>
        <v>17</v>
      </c>
      <c r="R111" s="32">
        <v>109</v>
      </c>
      <c r="S111" s="21">
        <v>35</v>
      </c>
      <c r="T111" s="21"/>
      <c r="U111" s="32">
        <v>109</v>
      </c>
      <c r="V111" s="32">
        <v>1</v>
      </c>
    </row>
    <row r="112" spans="1:22" x14ac:dyDescent="0.25">
      <c r="A112" s="21">
        <v>24</v>
      </c>
      <c r="F112" s="32">
        <v>18</v>
      </c>
      <c r="G112" s="32">
        <f t="shared" si="0"/>
        <v>18</v>
      </c>
      <c r="R112" s="32">
        <v>110</v>
      </c>
      <c r="S112" s="21">
        <v>35</v>
      </c>
      <c r="T112" s="21"/>
      <c r="U112" s="32">
        <v>110</v>
      </c>
      <c r="V112" s="32">
        <v>1</v>
      </c>
    </row>
    <row r="113" spans="1:22" x14ac:dyDescent="0.25">
      <c r="B113">
        <v>60</v>
      </c>
      <c r="C113">
        <v>1</v>
      </c>
      <c r="F113" s="32">
        <v>19</v>
      </c>
      <c r="G113" s="32">
        <f t="shared" si="0"/>
        <v>18</v>
      </c>
      <c r="R113" s="32">
        <v>111</v>
      </c>
      <c r="S113" s="21">
        <v>35</v>
      </c>
      <c r="T113" s="21"/>
      <c r="U113" s="32">
        <v>111</v>
      </c>
      <c r="V113" s="32">
        <v>1</v>
      </c>
    </row>
    <row r="114" spans="1:22" x14ac:dyDescent="0.25">
      <c r="B114">
        <v>30</v>
      </c>
      <c r="F114" s="32">
        <v>20</v>
      </c>
      <c r="G114" s="32">
        <f t="shared" si="0"/>
        <v>19</v>
      </c>
      <c r="R114" s="32">
        <v>112</v>
      </c>
      <c r="S114" s="21">
        <v>35</v>
      </c>
      <c r="T114" s="21"/>
      <c r="U114" s="32">
        <v>112</v>
      </c>
      <c r="V114" s="32">
        <v>1</v>
      </c>
    </row>
    <row r="115" spans="1:22" x14ac:dyDescent="0.25">
      <c r="B115">
        <v>20</v>
      </c>
      <c r="F115" s="32">
        <v>21</v>
      </c>
      <c r="G115" s="32">
        <f t="shared" si="0"/>
        <v>20</v>
      </c>
      <c r="R115" s="32">
        <v>113</v>
      </c>
      <c r="S115" s="21">
        <v>35</v>
      </c>
      <c r="T115" s="21"/>
      <c r="U115" s="32">
        <v>113</v>
      </c>
      <c r="V115">
        <v>1</v>
      </c>
    </row>
    <row r="116" spans="1:22" x14ac:dyDescent="0.25">
      <c r="B116">
        <v>10</v>
      </c>
      <c r="F116" s="32">
        <v>22</v>
      </c>
      <c r="G116" s="32">
        <f t="shared" si="0"/>
        <v>21</v>
      </c>
      <c r="R116" s="32">
        <v>114</v>
      </c>
      <c r="S116" s="21">
        <v>35</v>
      </c>
      <c r="T116" s="21"/>
      <c r="U116" s="32">
        <v>114</v>
      </c>
      <c r="V116" s="32">
        <v>1</v>
      </c>
    </row>
    <row r="117" spans="1:22" x14ac:dyDescent="0.25">
      <c r="B117">
        <v>5</v>
      </c>
      <c r="F117" s="32">
        <v>23</v>
      </c>
      <c r="G117" s="32">
        <f t="shared" si="0"/>
        <v>21</v>
      </c>
      <c r="R117" s="32">
        <v>115</v>
      </c>
      <c r="S117" s="21">
        <v>35</v>
      </c>
      <c r="T117" s="21"/>
      <c r="U117" s="32">
        <v>115</v>
      </c>
      <c r="V117" s="32">
        <v>1</v>
      </c>
    </row>
    <row r="118" spans="1:22" x14ac:dyDescent="0.25">
      <c r="C118" s="87"/>
      <c r="F118" s="32">
        <v>24</v>
      </c>
      <c r="G118" s="32">
        <f t="shared" si="0"/>
        <v>22</v>
      </c>
      <c r="R118" s="32">
        <v>116</v>
      </c>
      <c r="S118" s="21">
        <v>35</v>
      </c>
      <c r="T118" s="21"/>
      <c r="U118" s="32">
        <v>116</v>
      </c>
      <c r="V118" s="32">
        <v>1</v>
      </c>
    </row>
    <row r="119" spans="1:22" x14ac:dyDescent="0.25">
      <c r="F119" s="32">
        <v>25</v>
      </c>
      <c r="G119" s="32">
        <f t="shared" si="0"/>
        <v>23</v>
      </c>
      <c r="R119" s="32">
        <v>117</v>
      </c>
      <c r="S119" s="21">
        <v>35</v>
      </c>
      <c r="T119" s="21"/>
      <c r="U119" s="32">
        <v>117</v>
      </c>
      <c r="V119" s="32">
        <v>1</v>
      </c>
    </row>
    <row r="120" spans="1:22" x14ac:dyDescent="0.25">
      <c r="F120" s="32">
        <v>26</v>
      </c>
      <c r="G120" s="32">
        <f t="shared" si="0"/>
        <v>24</v>
      </c>
      <c r="R120" s="32">
        <v>118</v>
      </c>
      <c r="S120" s="21">
        <v>35</v>
      </c>
      <c r="T120" s="21"/>
      <c r="U120" s="32">
        <v>118</v>
      </c>
      <c r="V120" s="32">
        <v>1</v>
      </c>
    </row>
    <row r="121" spans="1:22" x14ac:dyDescent="0.25">
      <c r="F121" s="32">
        <v>27</v>
      </c>
      <c r="G121" s="32">
        <f t="shared" si="0"/>
        <v>24</v>
      </c>
      <c r="R121" s="32">
        <v>119</v>
      </c>
      <c r="S121" s="21">
        <v>35</v>
      </c>
      <c r="T121" s="21"/>
      <c r="U121" s="32">
        <v>119</v>
      </c>
      <c r="V121" s="32">
        <v>1</v>
      </c>
    </row>
    <row r="122" spans="1:22" x14ac:dyDescent="0.25">
      <c r="A122" s="47"/>
      <c r="B122" s="47"/>
      <c r="C122" s="4"/>
      <c r="F122" s="32">
        <v>28</v>
      </c>
      <c r="G122" s="32">
        <f t="shared" si="0"/>
        <v>25</v>
      </c>
      <c r="R122" s="32">
        <v>120</v>
      </c>
      <c r="S122" s="21">
        <v>50</v>
      </c>
      <c r="T122" s="21"/>
      <c r="U122" s="32">
        <v>120</v>
      </c>
      <c r="V122" s="32" t="s">
        <v>102</v>
      </c>
    </row>
    <row r="123" spans="1:22" x14ac:dyDescent="0.25">
      <c r="C123" s="4"/>
      <c r="F123" s="32">
        <v>29</v>
      </c>
      <c r="G123" s="32">
        <f>ROUNDUP(3.7+0.75*F123,0)</f>
        <v>26</v>
      </c>
      <c r="R123" s="32">
        <v>121</v>
      </c>
      <c r="S123" s="21">
        <v>50</v>
      </c>
      <c r="T123" s="21"/>
      <c r="U123" s="32">
        <v>121</v>
      </c>
      <c r="V123" s="32" t="s">
        <v>102</v>
      </c>
    </row>
    <row r="124" spans="1:22" x14ac:dyDescent="0.25">
      <c r="A124" s="47"/>
      <c r="B124" s="47"/>
      <c r="C124" s="4"/>
      <c r="F124" s="32">
        <v>30</v>
      </c>
      <c r="G124" s="32">
        <f t="shared" si="0"/>
        <v>27</v>
      </c>
      <c r="R124" s="32">
        <v>122</v>
      </c>
      <c r="S124" s="21">
        <v>50</v>
      </c>
      <c r="T124" s="21"/>
      <c r="U124" s="32">
        <v>122</v>
      </c>
      <c r="V124" s="32" t="s">
        <v>102</v>
      </c>
    </row>
    <row r="125" spans="1:22" x14ac:dyDescent="0.25">
      <c r="C125" s="4"/>
      <c r="F125" s="32">
        <v>31</v>
      </c>
      <c r="G125" s="32">
        <f t="shared" si="0"/>
        <v>27</v>
      </c>
      <c r="R125" s="32">
        <v>123</v>
      </c>
      <c r="S125" s="21">
        <v>50</v>
      </c>
      <c r="T125" s="21"/>
      <c r="U125" s="32">
        <v>123</v>
      </c>
      <c r="V125" s="32" t="s">
        <v>102</v>
      </c>
    </row>
    <row r="126" spans="1:22" x14ac:dyDescent="0.25">
      <c r="F126" s="32">
        <v>32</v>
      </c>
      <c r="G126" s="32">
        <f t="shared" si="0"/>
        <v>28</v>
      </c>
      <c r="R126" s="32">
        <v>124</v>
      </c>
      <c r="S126" s="21">
        <v>50</v>
      </c>
      <c r="T126" s="21"/>
      <c r="U126" s="32">
        <v>124</v>
      </c>
      <c r="V126" s="32" t="s">
        <v>102</v>
      </c>
    </row>
    <row r="127" spans="1:22" x14ac:dyDescent="0.25">
      <c r="F127" s="32">
        <v>33</v>
      </c>
      <c r="G127" s="32">
        <f t="shared" si="0"/>
        <v>29</v>
      </c>
      <c r="R127" s="32">
        <v>125</v>
      </c>
      <c r="S127" s="21">
        <v>50</v>
      </c>
      <c r="T127" s="21"/>
      <c r="U127" s="32">
        <v>125</v>
      </c>
      <c r="V127" s="32" t="s">
        <v>102</v>
      </c>
    </row>
    <row r="128" spans="1:22" x14ac:dyDescent="0.25">
      <c r="F128" s="32">
        <v>34</v>
      </c>
      <c r="G128" s="32">
        <f t="shared" si="0"/>
        <v>30</v>
      </c>
      <c r="R128" s="32">
        <v>126</v>
      </c>
      <c r="S128" s="21">
        <v>50</v>
      </c>
      <c r="T128" s="21"/>
      <c r="U128" s="32">
        <v>126</v>
      </c>
      <c r="V128" s="32" t="s">
        <v>102</v>
      </c>
    </row>
    <row r="129" spans="6:22" x14ac:dyDescent="0.25">
      <c r="F129" s="32">
        <v>35</v>
      </c>
      <c r="G129" s="32">
        <f t="shared" si="0"/>
        <v>30</v>
      </c>
      <c r="R129" s="32">
        <v>127</v>
      </c>
      <c r="S129" s="21">
        <v>50</v>
      </c>
      <c r="T129" s="21"/>
      <c r="U129" s="32">
        <v>127</v>
      </c>
      <c r="V129" s="32" t="s">
        <v>102</v>
      </c>
    </row>
    <row r="130" spans="6:22" x14ac:dyDescent="0.25">
      <c r="F130" s="32">
        <v>36</v>
      </c>
      <c r="G130" s="32">
        <f t="shared" si="0"/>
        <v>31</v>
      </c>
      <c r="R130" s="32">
        <v>128</v>
      </c>
      <c r="S130" s="21">
        <v>50</v>
      </c>
      <c r="T130" s="21"/>
      <c r="U130" s="32">
        <v>128</v>
      </c>
      <c r="V130" s="32" t="s">
        <v>102</v>
      </c>
    </row>
    <row r="131" spans="6:22" x14ac:dyDescent="0.25">
      <c r="F131" s="32">
        <v>37</v>
      </c>
      <c r="G131" s="32">
        <f t="shared" si="0"/>
        <v>32</v>
      </c>
      <c r="R131" s="32">
        <v>129</v>
      </c>
      <c r="S131" s="21">
        <v>50</v>
      </c>
      <c r="T131" s="21"/>
      <c r="U131" s="32">
        <v>129</v>
      </c>
      <c r="V131" s="32" t="s">
        <v>102</v>
      </c>
    </row>
    <row r="132" spans="6:22" x14ac:dyDescent="0.25">
      <c r="F132" s="32">
        <v>38</v>
      </c>
      <c r="G132" s="32">
        <f t="shared" si="0"/>
        <v>33</v>
      </c>
      <c r="R132" s="32">
        <v>130</v>
      </c>
      <c r="S132" s="21">
        <v>50</v>
      </c>
      <c r="T132" s="21"/>
      <c r="U132" s="32">
        <v>130</v>
      </c>
      <c r="V132" s="32" t="s">
        <v>102</v>
      </c>
    </row>
    <row r="133" spans="6:22" x14ac:dyDescent="0.25">
      <c r="F133" s="32">
        <v>39</v>
      </c>
      <c r="G133" s="32">
        <f t="shared" si="0"/>
        <v>33</v>
      </c>
      <c r="R133" s="32">
        <v>131</v>
      </c>
      <c r="S133" s="21">
        <v>50</v>
      </c>
      <c r="T133" s="21"/>
      <c r="U133" s="32">
        <v>131</v>
      </c>
      <c r="V133" s="32" t="s">
        <v>102</v>
      </c>
    </row>
    <row r="134" spans="6:22" x14ac:dyDescent="0.25">
      <c r="F134" s="32">
        <v>40</v>
      </c>
      <c r="G134" s="32">
        <f t="shared" si="0"/>
        <v>34</v>
      </c>
      <c r="R134" s="32">
        <v>132</v>
      </c>
      <c r="S134" s="21">
        <v>50</v>
      </c>
      <c r="T134" s="21"/>
      <c r="U134" s="32">
        <v>132</v>
      </c>
      <c r="V134" s="32" t="s">
        <v>102</v>
      </c>
    </row>
    <row r="135" spans="6:22" x14ac:dyDescent="0.25">
      <c r="F135" s="32">
        <v>41</v>
      </c>
      <c r="G135" s="32">
        <f t="shared" si="0"/>
        <v>35</v>
      </c>
      <c r="R135" s="32">
        <v>133</v>
      </c>
      <c r="S135" s="21">
        <v>50</v>
      </c>
      <c r="T135" s="21"/>
      <c r="U135" s="32">
        <v>133</v>
      </c>
      <c r="V135" s="32" t="s">
        <v>102</v>
      </c>
    </row>
    <row r="136" spans="6:22" x14ac:dyDescent="0.25">
      <c r="F136" s="32">
        <v>42</v>
      </c>
      <c r="G136" s="32">
        <f t="shared" si="0"/>
        <v>36</v>
      </c>
      <c r="R136" s="32">
        <v>134</v>
      </c>
      <c r="S136" s="21">
        <v>50</v>
      </c>
      <c r="T136" s="21"/>
      <c r="U136" s="32">
        <v>134</v>
      </c>
      <c r="V136" s="32" t="s">
        <v>102</v>
      </c>
    </row>
    <row r="137" spans="6:22" x14ac:dyDescent="0.25">
      <c r="F137" s="32">
        <v>43</v>
      </c>
      <c r="G137" s="32">
        <f t="shared" si="0"/>
        <v>36</v>
      </c>
      <c r="R137" s="32">
        <v>135</v>
      </c>
      <c r="S137" s="21">
        <v>50</v>
      </c>
      <c r="T137" s="21"/>
      <c r="U137" s="32">
        <v>135</v>
      </c>
      <c r="V137" s="32" t="s">
        <v>102</v>
      </c>
    </row>
    <row r="138" spans="6:22" x14ac:dyDescent="0.25">
      <c r="F138" s="32">
        <v>44</v>
      </c>
      <c r="G138" s="32">
        <f t="shared" si="0"/>
        <v>37</v>
      </c>
      <c r="R138" s="32">
        <v>136</v>
      </c>
      <c r="S138" s="21">
        <v>50</v>
      </c>
      <c r="T138" s="21"/>
      <c r="U138" s="32">
        <v>136</v>
      </c>
      <c r="V138" s="32" t="s">
        <v>102</v>
      </c>
    </row>
    <row r="139" spans="6:22" x14ac:dyDescent="0.25">
      <c r="F139" s="32">
        <v>45</v>
      </c>
      <c r="G139" s="32">
        <f t="shared" si="0"/>
        <v>38</v>
      </c>
      <c r="R139" s="32">
        <v>137</v>
      </c>
      <c r="S139" s="21">
        <v>50</v>
      </c>
      <c r="T139" s="21"/>
      <c r="U139" s="32">
        <v>137</v>
      </c>
      <c r="V139" s="32" t="s">
        <v>102</v>
      </c>
    </row>
    <row r="140" spans="6:22" x14ac:dyDescent="0.25">
      <c r="F140" s="32">
        <v>46</v>
      </c>
      <c r="G140" s="32">
        <f t="shared" si="0"/>
        <v>39</v>
      </c>
      <c r="R140" s="32">
        <v>138</v>
      </c>
      <c r="S140" s="21">
        <v>50</v>
      </c>
      <c r="T140" s="21"/>
      <c r="U140" s="32">
        <v>138</v>
      </c>
      <c r="V140" s="32" t="s">
        <v>102</v>
      </c>
    </row>
    <row r="141" spans="6:22" x14ac:dyDescent="0.25">
      <c r="F141" s="32">
        <v>47</v>
      </c>
      <c r="G141" s="32">
        <f>ROUNDUP(3.7+0.75*F141,0)</f>
        <v>39</v>
      </c>
      <c r="R141" s="32">
        <v>139</v>
      </c>
      <c r="S141" s="21">
        <v>50</v>
      </c>
      <c r="T141" s="21"/>
      <c r="U141" s="32">
        <v>139</v>
      </c>
      <c r="V141" s="32" t="s">
        <v>102</v>
      </c>
    </row>
    <row r="142" spans="6:22" x14ac:dyDescent="0.25">
      <c r="F142" s="32">
        <v>48</v>
      </c>
      <c r="G142" s="32">
        <f t="shared" si="0"/>
        <v>40</v>
      </c>
      <c r="R142" s="32">
        <v>140</v>
      </c>
      <c r="S142" s="21">
        <v>50</v>
      </c>
      <c r="T142" s="21"/>
      <c r="U142" s="32">
        <v>140</v>
      </c>
      <c r="V142" s="32" t="s">
        <v>102</v>
      </c>
    </row>
    <row r="143" spans="6:22" x14ac:dyDescent="0.25">
      <c r="F143" s="32">
        <v>49</v>
      </c>
      <c r="G143" s="32">
        <f t="shared" si="0"/>
        <v>41</v>
      </c>
      <c r="R143" s="32">
        <v>141</v>
      </c>
      <c r="S143" s="21">
        <v>50</v>
      </c>
      <c r="T143" s="21"/>
      <c r="U143" s="32">
        <v>141</v>
      </c>
      <c r="V143" s="32" t="s">
        <v>102</v>
      </c>
    </row>
    <row r="144" spans="6:22" x14ac:dyDescent="0.25">
      <c r="F144" s="32">
        <v>50</v>
      </c>
      <c r="G144" s="32">
        <f t="shared" si="0"/>
        <v>42</v>
      </c>
      <c r="R144" s="32">
        <v>142</v>
      </c>
      <c r="S144" s="21">
        <v>50</v>
      </c>
      <c r="T144" s="21"/>
      <c r="U144" s="32">
        <v>142</v>
      </c>
      <c r="V144" s="32" t="s">
        <v>102</v>
      </c>
    </row>
    <row r="145" spans="6:22" x14ac:dyDescent="0.25">
      <c r="F145" s="32">
        <v>51</v>
      </c>
      <c r="G145" s="32">
        <f t="shared" si="0"/>
        <v>42</v>
      </c>
      <c r="R145" s="32">
        <v>143</v>
      </c>
      <c r="S145" s="21">
        <v>50</v>
      </c>
      <c r="T145" s="21"/>
      <c r="U145" s="32">
        <v>143</v>
      </c>
      <c r="V145" s="32" t="s">
        <v>102</v>
      </c>
    </row>
    <row r="146" spans="6:22" x14ac:dyDescent="0.25">
      <c r="F146" s="32">
        <v>52</v>
      </c>
      <c r="G146" s="32">
        <f t="shared" si="0"/>
        <v>43</v>
      </c>
      <c r="R146" s="32">
        <v>144</v>
      </c>
      <c r="S146" s="21">
        <v>50</v>
      </c>
      <c r="T146" s="21"/>
      <c r="U146" s="32">
        <v>144</v>
      </c>
      <c r="V146" s="32" t="s">
        <v>102</v>
      </c>
    </row>
    <row r="147" spans="6:22" x14ac:dyDescent="0.25">
      <c r="F147" s="32">
        <v>53</v>
      </c>
      <c r="G147" s="32">
        <f t="shared" si="0"/>
        <v>44</v>
      </c>
      <c r="R147" s="32">
        <v>145</v>
      </c>
      <c r="S147" s="21">
        <v>50</v>
      </c>
      <c r="T147" s="21"/>
      <c r="U147" s="32">
        <v>145</v>
      </c>
      <c r="V147" s="32" t="s">
        <v>102</v>
      </c>
    </row>
    <row r="148" spans="6:22" x14ac:dyDescent="0.25">
      <c r="F148" s="32">
        <v>54</v>
      </c>
      <c r="G148" s="32">
        <f t="shared" si="0"/>
        <v>45</v>
      </c>
      <c r="R148" s="32">
        <v>146</v>
      </c>
      <c r="S148" s="21">
        <v>50</v>
      </c>
      <c r="T148" s="21"/>
      <c r="U148" s="32">
        <v>146</v>
      </c>
      <c r="V148" s="32" t="s">
        <v>102</v>
      </c>
    </row>
    <row r="149" spans="6:22" x14ac:dyDescent="0.25">
      <c r="F149" s="32">
        <v>55</v>
      </c>
      <c r="G149" s="32">
        <f t="shared" si="0"/>
        <v>45</v>
      </c>
      <c r="R149" s="32">
        <v>147</v>
      </c>
      <c r="S149" s="21">
        <v>50</v>
      </c>
      <c r="T149" s="21"/>
      <c r="U149" s="32">
        <v>147</v>
      </c>
      <c r="V149" s="32" t="s">
        <v>102</v>
      </c>
    </row>
    <row r="150" spans="6:22" x14ac:dyDescent="0.25">
      <c r="F150">
        <v>56</v>
      </c>
      <c r="G150" s="32">
        <v>45</v>
      </c>
      <c r="R150" s="32">
        <v>148</v>
      </c>
      <c r="S150" s="21">
        <v>50</v>
      </c>
      <c r="T150" s="21"/>
      <c r="U150" s="32">
        <v>148</v>
      </c>
      <c r="V150" s="32" t="s">
        <v>102</v>
      </c>
    </row>
    <row r="151" spans="6:22" x14ac:dyDescent="0.25">
      <c r="F151">
        <v>57</v>
      </c>
      <c r="G151" s="32">
        <v>45</v>
      </c>
      <c r="R151" s="32">
        <v>149</v>
      </c>
      <c r="S151" s="21">
        <v>50</v>
      </c>
      <c r="T151" s="21"/>
      <c r="U151" s="32">
        <v>149</v>
      </c>
      <c r="V151" s="32" t="s">
        <v>102</v>
      </c>
    </row>
    <row r="152" spans="6:22" x14ac:dyDescent="0.25">
      <c r="F152">
        <v>58</v>
      </c>
      <c r="G152" s="32">
        <v>45</v>
      </c>
      <c r="R152" s="32">
        <v>150</v>
      </c>
      <c r="S152" s="21">
        <v>50</v>
      </c>
      <c r="T152" s="21"/>
      <c r="U152" s="32">
        <v>150</v>
      </c>
      <c r="V152" s="32" t="s">
        <v>102</v>
      </c>
    </row>
    <row r="153" spans="6:22" x14ac:dyDescent="0.25">
      <c r="F153">
        <v>59</v>
      </c>
      <c r="G153" s="32">
        <v>45</v>
      </c>
      <c r="R153" s="32">
        <v>151</v>
      </c>
      <c r="S153" s="21">
        <v>70</v>
      </c>
      <c r="T153" s="21"/>
      <c r="U153" s="32">
        <v>151</v>
      </c>
      <c r="V153" s="32" t="s">
        <v>103</v>
      </c>
    </row>
    <row r="154" spans="6:22" x14ac:dyDescent="0.25">
      <c r="F154">
        <v>60</v>
      </c>
      <c r="G154" s="32">
        <v>45</v>
      </c>
      <c r="R154" s="32">
        <v>152</v>
      </c>
      <c r="S154" s="21">
        <v>70</v>
      </c>
      <c r="T154" s="21"/>
      <c r="U154" s="32">
        <v>152</v>
      </c>
      <c r="V154" s="32" t="s">
        <v>103</v>
      </c>
    </row>
    <row r="155" spans="6:22" x14ac:dyDescent="0.25">
      <c r="F155" s="32">
        <v>61</v>
      </c>
      <c r="G155" s="32">
        <v>45</v>
      </c>
      <c r="R155" s="32">
        <v>153</v>
      </c>
      <c r="S155" s="21">
        <v>70</v>
      </c>
      <c r="T155" s="21"/>
      <c r="U155" s="32">
        <v>153</v>
      </c>
      <c r="V155" t="s">
        <v>103</v>
      </c>
    </row>
    <row r="156" spans="6:22" x14ac:dyDescent="0.25">
      <c r="F156" s="32">
        <v>62</v>
      </c>
      <c r="G156" s="32">
        <v>45</v>
      </c>
      <c r="R156" s="32">
        <v>154</v>
      </c>
      <c r="S156" s="21">
        <v>70</v>
      </c>
      <c r="T156" s="21"/>
      <c r="U156" s="32">
        <v>154</v>
      </c>
      <c r="V156" s="32" t="s">
        <v>103</v>
      </c>
    </row>
    <row r="157" spans="6:22" x14ac:dyDescent="0.25">
      <c r="F157" s="32">
        <v>63</v>
      </c>
      <c r="G157" s="32">
        <v>45</v>
      </c>
      <c r="R157" s="32">
        <v>155</v>
      </c>
      <c r="S157" s="21">
        <v>70</v>
      </c>
      <c r="T157" s="21"/>
      <c r="U157" s="32">
        <v>155</v>
      </c>
      <c r="V157" s="32" t="s">
        <v>103</v>
      </c>
    </row>
    <row r="158" spans="6:22" x14ac:dyDescent="0.25">
      <c r="F158" s="32">
        <v>64</v>
      </c>
      <c r="G158" s="32">
        <v>45</v>
      </c>
      <c r="R158" s="32">
        <v>156</v>
      </c>
      <c r="S158" s="21">
        <v>70</v>
      </c>
      <c r="T158" s="21"/>
      <c r="U158" s="32">
        <v>156</v>
      </c>
      <c r="V158" s="32" t="s">
        <v>103</v>
      </c>
    </row>
    <row r="159" spans="6:22" x14ac:dyDescent="0.25">
      <c r="F159" s="32">
        <v>65</v>
      </c>
      <c r="G159" s="32">
        <v>45</v>
      </c>
      <c r="R159" s="32">
        <v>157</v>
      </c>
      <c r="S159" s="21">
        <v>70</v>
      </c>
      <c r="T159" s="21"/>
      <c r="U159" s="32">
        <v>157</v>
      </c>
      <c r="V159" s="32" t="s">
        <v>103</v>
      </c>
    </row>
    <row r="160" spans="6:22" x14ac:dyDescent="0.25">
      <c r="F160" s="32">
        <v>66</v>
      </c>
      <c r="G160" s="32">
        <v>45</v>
      </c>
      <c r="R160" s="32">
        <v>158</v>
      </c>
      <c r="S160" s="21">
        <v>70</v>
      </c>
      <c r="T160" s="21"/>
      <c r="U160" s="32">
        <v>158</v>
      </c>
      <c r="V160" s="32" t="s">
        <v>103</v>
      </c>
    </row>
    <row r="161" spans="6:22" x14ac:dyDescent="0.25">
      <c r="F161" s="32">
        <v>67</v>
      </c>
      <c r="G161" s="32">
        <v>45</v>
      </c>
      <c r="R161" s="32">
        <v>159</v>
      </c>
      <c r="S161" s="21">
        <v>70</v>
      </c>
      <c r="T161" s="21"/>
      <c r="U161" s="32">
        <v>159</v>
      </c>
      <c r="V161" s="32" t="s">
        <v>103</v>
      </c>
    </row>
    <row r="162" spans="6:22" x14ac:dyDescent="0.25">
      <c r="F162" s="32">
        <v>68</v>
      </c>
      <c r="G162" s="32">
        <v>45</v>
      </c>
      <c r="R162" s="32">
        <v>160</v>
      </c>
      <c r="S162" s="21">
        <v>70</v>
      </c>
      <c r="T162" s="21"/>
      <c r="U162" s="32">
        <v>160</v>
      </c>
      <c r="V162" s="32" t="s">
        <v>103</v>
      </c>
    </row>
    <row r="163" spans="6:22" x14ac:dyDescent="0.25">
      <c r="F163" s="32">
        <v>69</v>
      </c>
      <c r="G163" s="32">
        <v>45</v>
      </c>
      <c r="R163" s="32">
        <v>161</v>
      </c>
      <c r="S163" s="21">
        <v>70</v>
      </c>
      <c r="T163" s="21"/>
      <c r="U163" s="32">
        <v>161</v>
      </c>
      <c r="V163" s="32" t="s">
        <v>103</v>
      </c>
    </row>
    <row r="164" spans="6:22" x14ac:dyDescent="0.25">
      <c r="F164" s="32">
        <v>70</v>
      </c>
      <c r="G164" s="32">
        <v>45</v>
      </c>
      <c r="R164" s="32">
        <v>162</v>
      </c>
      <c r="S164" s="21">
        <v>70</v>
      </c>
      <c r="T164" s="21"/>
      <c r="U164" s="32">
        <v>162</v>
      </c>
      <c r="V164" s="32" t="s">
        <v>103</v>
      </c>
    </row>
    <row r="165" spans="6:22" x14ac:dyDescent="0.25">
      <c r="R165" s="32">
        <v>163</v>
      </c>
      <c r="S165" s="21">
        <v>70</v>
      </c>
      <c r="T165" s="21"/>
      <c r="U165" s="32">
        <v>163</v>
      </c>
      <c r="V165" s="32" t="s">
        <v>103</v>
      </c>
    </row>
    <row r="166" spans="6:22" x14ac:dyDescent="0.25">
      <c r="R166" s="32">
        <v>164</v>
      </c>
      <c r="S166" s="21">
        <v>70</v>
      </c>
      <c r="T166" s="21"/>
      <c r="U166" s="32">
        <v>164</v>
      </c>
      <c r="V166" s="32" t="s">
        <v>103</v>
      </c>
    </row>
    <row r="167" spans="6:22" x14ac:dyDescent="0.25">
      <c r="R167" s="32">
        <v>165</v>
      </c>
      <c r="S167" s="21">
        <v>70</v>
      </c>
      <c r="T167" s="21"/>
      <c r="U167" s="32">
        <v>165</v>
      </c>
      <c r="V167" s="32" t="s">
        <v>103</v>
      </c>
    </row>
    <row r="168" spans="6:22" x14ac:dyDescent="0.25">
      <c r="R168" s="32">
        <v>166</v>
      </c>
      <c r="S168" s="21">
        <v>70</v>
      </c>
      <c r="T168" s="21"/>
      <c r="U168" s="32">
        <v>166</v>
      </c>
      <c r="V168" s="32" t="s">
        <v>103</v>
      </c>
    </row>
    <row r="169" spans="6:22" x14ac:dyDescent="0.25">
      <c r="R169" s="32">
        <v>167</v>
      </c>
      <c r="S169" s="21">
        <v>70</v>
      </c>
      <c r="T169" s="21"/>
      <c r="U169" s="32">
        <v>167</v>
      </c>
      <c r="V169" s="32" t="s">
        <v>103</v>
      </c>
    </row>
    <row r="170" spans="6:22" x14ac:dyDescent="0.25">
      <c r="R170" s="32">
        <v>168</v>
      </c>
      <c r="S170" s="21">
        <v>70</v>
      </c>
      <c r="T170" s="21"/>
      <c r="U170" s="32">
        <v>168</v>
      </c>
      <c r="V170" s="32" t="s">
        <v>103</v>
      </c>
    </row>
    <row r="171" spans="6:22" x14ac:dyDescent="0.25">
      <c r="R171" s="32">
        <v>169</v>
      </c>
      <c r="S171" s="21">
        <v>70</v>
      </c>
      <c r="T171" s="21"/>
      <c r="U171" s="32">
        <v>169</v>
      </c>
      <c r="V171" s="32" t="s">
        <v>103</v>
      </c>
    </row>
    <row r="172" spans="6:22" x14ac:dyDescent="0.25">
      <c r="R172" s="32">
        <v>170</v>
      </c>
      <c r="S172" s="21">
        <v>70</v>
      </c>
      <c r="T172" s="21"/>
      <c r="U172" s="32">
        <v>170</v>
      </c>
      <c r="V172" s="32" t="s">
        <v>103</v>
      </c>
    </row>
    <row r="173" spans="6:22" x14ac:dyDescent="0.25">
      <c r="R173" s="32">
        <v>171</v>
      </c>
      <c r="S173" s="21">
        <v>70</v>
      </c>
      <c r="T173" s="21"/>
      <c r="U173" s="32">
        <v>171</v>
      </c>
      <c r="V173" s="32" t="s">
        <v>103</v>
      </c>
    </row>
    <row r="174" spans="6:22" x14ac:dyDescent="0.25">
      <c r="R174" s="32">
        <v>172</v>
      </c>
      <c r="S174" s="21">
        <v>70</v>
      </c>
      <c r="T174" s="21"/>
      <c r="U174" s="32">
        <v>172</v>
      </c>
      <c r="V174" s="32" t="s">
        <v>103</v>
      </c>
    </row>
    <row r="175" spans="6:22" x14ac:dyDescent="0.25">
      <c r="R175" s="32">
        <v>173</v>
      </c>
      <c r="S175" s="21">
        <v>70</v>
      </c>
      <c r="T175" s="21"/>
      <c r="U175" s="32">
        <v>173</v>
      </c>
      <c r="V175" s="32" t="s">
        <v>103</v>
      </c>
    </row>
    <row r="176" spans="6:22" x14ac:dyDescent="0.25">
      <c r="R176" s="32">
        <v>174</v>
      </c>
      <c r="S176" s="21">
        <v>70</v>
      </c>
      <c r="T176" s="21"/>
      <c r="U176" s="32">
        <v>174</v>
      </c>
      <c r="V176" s="32" t="s">
        <v>103</v>
      </c>
    </row>
    <row r="177" spans="18:22" x14ac:dyDescent="0.25">
      <c r="R177" s="32">
        <v>175</v>
      </c>
      <c r="S177" s="21">
        <v>70</v>
      </c>
      <c r="T177" s="21"/>
      <c r="U177" s="32">
        <v>175</v>
      </c>
      <c r="V177" s="32" t="s">
        <v>103</v>
      </c>
    </row>
    <row r="178" spans="18:22" x14ac:dyDescent="0.25">
      <c r="R178" s="32">
        <v>176</v>
      </c>
      <c r="S178" s="21">
        <v>70</v>
      </c>
      <c r="T178" s="21"/>
      <c r="U178" s="32">
        <v>176</v>
      </c>
      <c r="V178" s="32" t="s">
        <v>103</v>
      </c>
    </row>
    <row r="179" spans="18:22" x14ac:dyDescent="0.25">
      <c r="R179" s="32">
        <v>177</v>
      </c>
      <c r="S179" s="21">
        <v>70</v>
      </c>
      <c r="T179" s="21"/>
      <c r="U179" s="32">
        <v>177</v>
      </c>
      <c r="V179" s="32" t="s">
        <v>103</v>
      </c>
    </row>
    <row r="180" spans="18:22" x14ac:dyDescent="0.25">
      <c r="R180" s="32">
        <v>178</v>
      </c>
      <c r="S180" s="21">
        <v>70</v>
      </c>
      <c r="T180" s="21"/>
      <c r="U180" s="32">
        <v>178</v>
      </c>
      <c r="V180" s="32" t="s">
        <v>103</v>
      </c>
    </row>
    <row r="181" spans="18:22" x14ac:dyDescent="0.25">
      <c r="R181" s="32">
        <v>179</v>
      </c>
      <c r="S181" s="21">
        <v>70</v>
      </c>
      <c r="T181" s="21"/>
      <c r="U181" s="32">
        <v>179</v>
      </c>
      <c r="V181" s="32" t="s">
        <v>103</v>
      </c>
    </row>
    <row r="182" spans="18:22" x14ac:dyDescent="0.25">
      <c r="R182" s="32">
        <v>180</v>
      </c>
      <c r="S182" s="21">
        <v>70</v>
      </c>
      <c r="T182" s="21"/>
      <c r="U182" s="32">
        <v>180</v>
      </c>
      <c r="V182" s="32" t="s">
        <v>103</v>
      </c>
    </row>
    <row r="183" spans="18:22" x14ac:dyDescent="0.25">
      <c r="R183" s="32">
        <v>181</v>
      </c>
      <c r="S183" s="21">
        <v>70</v>
      </c>
      <c r="T183" s="21"/>
      <c r="U183" s="32">
        <v>181</v>
      </c>
      <c r="V183" s="32" t="s">
        <v>103</v>
      </c>
    </row>
    <row r="184" spans="18:22" x14ac:dyDescent="0.25">
      <c r="R184" s="32">
        <v>182</v>
      </c>
      <c r="S184" s="21">
        <v>70</v>
      </c>
      <c r="T184" s="21"/>
      <c r="U184" s="32">
        <v>182</v>
      </c>
      <c r="V184" s="32" t="s">
        <v>103</v>
      </c>
    </row>
    <row r="185" spans="18:22" x14ac:dyDescent="0.25">
      <c r="R185" s="32">
        <v>183</v>
      </c>
      <c r="S185" s="21">
        <v>70</v>
      </c>
      <c r="T185" s="21"/>
      <c r="U185" s="32">
        <v>183</v>
      </c>
      <c r="V185" s="32" t="s">
        <v>103</v>
      </c>
    </row>
    <row r="186" spans="18:22" x14ac:dyDescent="0.25">
      <c r="R186" s="32">
        <v>184</v>
      </c>
      <c r="S186" s="21">
        <v>70</v>
      </c>
      <c r="T186" s="21"/>
      <c r="U186" s="32">
        <v>184</v>
      </c>
      <c r="V186" t="s">
        <v>103</v>
      </c>
    </row>
    <row r="187" spans="18:22" x14ac:dyDescent="0.25">
      <c r="R187" s="32">
        <v>185</v>
      </c>
      <c r="S187" s="21">
        <v>70</v>
      </c>
      <c r="T187" s="21"/>
      <c r="U187" s="32">
        <v>185</v>
      </c>
      <c r="V187" s="32" t="s">
        <v>103</v>
      </c>
    </row>
    <row r="188" spans="18:22" x14ac:dyDescent="0.25">
      <c r="R188" s="32">
        <v>186</v>
      </c>
      <c r="S188" s="21">
        <v>70</v>
      </c>
      <c r="T188" s="21"/>
      <c r="U188" s="32">
        <v>186</v>
      </c>
      <c r="V188" s="32" t="s">
        <v>103</v>
      </c>
    </row>
    <row r="189" spans="18:22" x14ac:dyDescent="0.25">
      <c r="R189" s="32">
        <v>187</v>
      </c>
      <c r="S189" s="21">
        <v>70</v>
      </c>
      <c r="T189" s="21"/>
      <c r="U189" s="32">
        <v>187</v>
      </c>
      <c r="V189" s="32" t="s">
        <v>103</v>
      </c>
    </row>
    <row r="190" spans="18:22" x14ac:dyDescent="0.25">
      <c r="R190" s="32">
        <v>188</v>
      </c>
      <c r="S190" s="21">
        <v>70</v>
      </c>
      <c r="T190" s="21"/>
      <c r="U190" s="32">
        <v>188</v>
      </c>
      <c r="V190" s="32" t="s">
        <v>103</v>
      </c>
    </row>
    <row r="191" spans="18:22" x14ac:dyDescent="0.25">
      <c r="R191" s="32">
        <v>189</v>
      </c>
      <c r="S191" s="21">
        <v>70</v>
      </c>
      <c r="T191" s="21"/>
      <c r="U191" s="32">
        <v>189</v>
      </c>
      <c r="V191" s="32" t="s">
        <v>103</v>
      </c>
    </row>
    <row r="192" spans="18:22" x14ac:dyDescent="0.25">
      <c r="R192" s="32">
        <v>190</v>
      </c>
      <c r="S192" s="21">
        <v>70</v>
      </c>
      <c r="T192" s="21"/>
      <c r="U192" s="32">
        <v>190</v>
      </c>
      <c r="V192" s="32" t="s">
        <v>103</v>
      </c>
    </row>
    <row r="193" spans="18:22" x14ac:dyDescent="0.25">
      <c r="R193" s="32">
        <v>191</v>
      </c>
      <c r="S193" s="21">
        <v>70</v>
      </c>
      <c r="T193" s="21"/>
      <c r="U193" s="32">
        <v>191</v>
      </c>
      <c r="V193" s="32" t="s">
        <v>104</v>
      </c>
    </row>
    <row r="194" spans="18:22" x14ac:dyDescent="0.25">
      <c r="R194" s="32">
        <v>192</v>
      </c>
      <c r="S194" s="21">
        <v>70</v>
      </c>
      <c r="T194" s="21"/>
      <c r="U194" s="32">
        <v>192</v>
      </c>
      <c r="V194" s="32" t="s">
        <v>104</v>
      </c>
    </row>
    <row r="195" spans="18:22" x14ac:dyDescent="0.25">
      <c r="R195" s="32">
        <v>193</v>
      </c>
      <c r="S195" s="21">
        <v>70</v>
      </c>
      <c r="T195" s="21"/>
      <c r="U195" s="32">
        <v>193</v>
      </c>
      <c r="V195" s="32" t="s">
        <v>104</v>
      </c>
    </row>
    <row r="196" spans="18:22" x14ac:dyDescent="0.25">
      <c r="R196" s="32">
        <v>194</v>
      </c>
      <c r="S196" s="21">
        <v>70</v>
      </c>
      <c r="T196" s="21"/>
      <c r="U196" s="32">
        <v>194</v>
      </c>
      <c r="V196" s="32" t="s">
        <v>104</v>
      </c>
    </row>
    <row r="197" spans="18:22" x14ac:dyDescent="0.25">
      <c r="R197" s="32">
        <v>195</v>
      </c>
      <c r="S197" s="21">
        <v>70</v>
      </c>
      <c r="T197" s="21"/>
      <c r="U197" s="32">
        <v>195</v>
      </c>
      <c r="V197" s="32" t="s">
        <v>104</v>
      </c>
    </row>
    <row r="198" spans="18:22" x14ac:dyDescent="0.25">
      <c r="R198" s="32">
        <v>196</v>
      </c>
      <c r="S198" s="21">
        <v>70</v>
      </c>
      <c r="T198" s="21"/>
      <c r="U198" s="32">
        <v>196</v>
      </c>
      <c r="V198" s="32" t="s">
        <v>104</v>
      </c>
    </row>
    <row r="199" spans="18:22" x14ac:dyDescent="0.25">
      <c r="R199" s="32">
        <v>197</v>
      </c>
      <c r="S199" s="21">
        <v>70</v>
      </c>
      <c r="T199" s="21"/>
      <c r="U199" s="32">
        <v>197</v>
      </c>
      <c r="V199" s="32" t="s">
        <v>104</v>
      </c>
    </row>
    <row r="200" spans="18:22" x14ac:dyDescent="0.25">
      <c r="R200" s="32">
        <v>198</v>
      </c>
      <c r="S200" s="21">
        <v>70</v>
      </c>
      <c r="T200" s="21"/>
      <c r="U200" s="32">
        <v>198</v>
      </c>
      <c r="V200" s="32" t="s">
        <v>104</v>
      </c>
    </row>
    <row r="201" spans="18:22" x14ac:dyDescent="0.25">
      <c r="R201" s="32">
        <v>199</v>
      </c>
      <c r="S201" s="21">
        <v>70</v>
      </c>
      <c r="T201" s="21"/>
      <c r="U201" s="32">
        <v>199</v>
      </c>
      <c r="V201" s="32" t="s">
        <v>104</v>
      </c>
    </row>
    <row r="202" spans="18:22" x14ac:dyDescent="0.25">
      <c r="R202" s="32">
        <v>200</v>
      </c>
      <c r="S202" s="21">
        <v>70</v>
      </c>
      <c r="T202" s="21"/>
      <c r="U202" s="32">
        <v>200</v>
      </c>
      <c r="V202" s="32" t="s">
        <v>104</v>
      </c>
    </row>
    <row r="203" spans="18:22" x14ac:dyDescent="0.25">
      <c r="R203" s="32">
        <v>201</v>
      </c>
      <c r="S203" s="21">
        <v>70</v>
      </c>
      <c r="T203" s="21"/>
      <c r="U203" s="32">
        <v>201</v>
      </c>
      <c r="V203" s="32" t="s">
        <v>104</v>
      </c>
    </row>
    <row r="204" spans="18:22" x14ac:dyDescent="0.25">
      <c r="R204" s="32">
        <v>202</v>
      </c>
      <c r="S204" s="21">
        <v>70</v>
      </c>
      <c r="T204" s="21"/>
      <c r="U204" s="32">
        <v>202</v>
      </c>
      <c r="V204" s="32" t="s">
        <v>104</v>
      </c>
    </row>
    <row r="205" spans="18:22" x14ac:dyDescent="0.25">
      <c r="R205" s="32">
        <v>203</v>
      </c>
      <c r="S205" s="21">
        <v>70</v>
      </c>
      <c r="T205" s="21"/>
      <c r="U205" s="32">
        <v>203</v>
      </c>
      <c r="V205" s="32" t="s">
        <v>104</v>
      </c>
    </row>
    <row r="206" spans="18:22" x14ac:dyDescent="0.25">
      <c r="R206" s="32">
        <v>204</v>
      </c>
      <c r="S206" s="21">
        <v>70</v>
      </c>
      <c r="T206" s="21"/>
      <c r="U206" s="32">
        <v>204</v>
      </c>
      <c r="V206" s="32" t="s">
        <v>104</v>
      </c>
    </row>
    <row r="207" spans="18:22" x14ac:dyDescent="0.25">
      <c r="R207" s="32">
        <v>205</v>
      </c>
      <c r="S207" s="21">
        <v>70</v>
      </c>
      <c r="T207" s="21"/>
      <c r="U207" s="32">
        <v>205</v>
      </c>
      <c r="V207" s="32" t="s">
        <v>104</v>
      </c>
    </row>
    <row r="208" spans="18:22" x14ac:dyDescent="0.25">
      <c r="R208" s="32">
        <v>206</v>
      </c>
      <c r="S208" s="21">
        <v>70</v>
      </c>
      <c r="T208" s="21"/>
      <c r="U208" s="32">
        <v>206</v>
      </c>
      <c r="V208" s="32" t="s">
        <v>104</v>
      </c>
    </row>
    <row r="209" spans="18:22" x14ac:dyDescent="0.25">
      <c r="R209" s="32">
        <v>207</v>
      </c>
      <c r="S209" s="21">
        <v>70</v>
      </c>
      <c r="T209" s="21"/>
      <c r="U209" s="32">
        <v>207</v>
      </c>
      <c r="V209" s="32" t="s">
        <v>104</v>
      </c>
    </row>
    <row r="210" spans="18:22" x14ac:dyDescent="0.25">
      <c r="R210" s="32">
        <v>208</v>
      </c>
      <c r="S210" s="21">
        <v>70</v>
      </c>
      <c r="T210" s="21"/>
      <c r="U210" s="32">
        <v>208</v>
      </c>
      <c r="V210" s="32" t="s">
        <v>104</v>
      </c>
    </row>
    <row r="211" spans="18:22" x14ac:dyDescent="0.25">
      <c r="R211" s="32">
        <v>209</v>
      </c>
      <c r="S211" s="21">
        <v>70</v>
      </c>
      <c r="T211" s="21"/>
      <c r="U211" s="32">
        <v>209</v>
      </c>
      <c r="V211" t="s">
        <v>104</v>
      </c>
    </row>
    <row r="212" spans="18:22" x14ac:dyDescent="0.25">
      <c r="R212" s="32">
        <v>210</v>
      </c>
      <c r="S212" s="21">
        <v>70</v>
      </c>
      <c r="T212" s="21"/>
      <c r="U212" s="32">
        <v>210</v>
      </c>
      <c r="V212" s="32" t="s">
        <v>104</v>
      </c>
    </row>
    <row r="213" spans="18:22" x14ac:dyDescent="0.25">
      <c r="R213" s="32">
        <v>211</v>
      </c>
      <c r="S213" s="21">
        <v>70</v>
      </c>
      <c r="T213" s="21"/>
      <c r="U213" s="32">
        <v>211</v>
      </c>
      <c r="V213" s="32" t="s">
        <v>104</v>
      </c>
    </row>
    <row r="214" spans="18:22" x14ac:dyDescent="0.25">
      <c r="R214" s="32">
        <v>212</v>
      </c>
      <c r="S214" s="21">
        <v>70</v>
      </c>
      <c r="T214" s="21"/>
      <c r="U214" s="32">
        <v>212</v>
      </c>
      <c r="V214" s="32" t="s">
        <v>104</v>
      </c>
    </row>
    <row r="215" spans="18:22" x14ac:dyDescent="0.25">
      <c r="R215" s="32">
        <v>213</v>
      </c>
      <c r="S215" s="21">
        <v>70</v>
      </c>
      <c r="T215" s="21"/>
      <c r="U215" s="32">
        <v>213</v>
      </c>
      <c r="V215" s="32" t="s">
        <v>104</v>
      </c>
    </row>
    <row r="216" spans="18:22" x14ac:dyDescent="0.25">
      <c r="R216" s="32">
        <v>214</v>
      </c>
      <c r="S216" s="21">
        <v>70</v>
      </c>
      <c r="T216" s="21"/>
      <c r="U216" s="32">
        <v>214</v>
      </c>
      <c r="V216" s="32" t="s">
        <v>104</v>
      </c>
    </row>
    <row r="217" spans="18:22" x14ac:dyDescent="0.25">
      <c r="R217" s="32">
        <v>215</v>
      </c>
      <c r="S217" s="21">
        <v>70</v>
      </c>
      <c r="T217" s="21"/>
      <c r="U217" s="32">
        <v>215</v>
      </c>
      <c r="V217" s="32" t="s">
        <v>104</v>
      </c>
    </row>
    <row r="218" spans="18:22" x14ac:dyDescent="0.25">
      <c r="R218" s="32">
        <v>216</v>
      </c>
      <c r="S218" s="21">
        <v>70</v>
      </c>
      <c r="T218" s="21"/>
      <c r="U218" s="32">
        <v>216</v>
      </c>
      <c r="V218" s="32" t="s">
        <v>104</v>
      </c>
    </row>
    <row r="219" spans="18:22" x14ac:dyDescent="0.25">
      <c r="R219" s="32">
        <v>217</v>
      </c>
      <c r="S219" s="21">
        <v>70</v>
      </c>
      <c r="T219" s="21"/>
      <c r="U219" s="32">
        <v>217</v>
      </c>
      <c r="V219" s="32" t="s">
        <v>104</v>
      </c>
    </row>
    <row r="220" spans="18:22" x14ac:dyDescent="0.25">
      <c r="R220" s="32">
        <v>218</v>
      </c>
      <c r="S220" s="21">
        <v>70</v>
      </c>
      <c r="T220" s="21"/>
      <c r="U220" s="32">
        <v>218</v>
      </c>
      <c r="V220" s="32" t="s">
        <v>104</v>
      </c>
    </row>
    <row r="221" spans="18:22" x14ac:dyDescent="0.25">
      <c r="R221" s="32">
        <v>219</v>
      </c>
      <c r="S221" s="21">
        <v>70</v>
      </c>
      <c r="T221" s="21"/>
      <c r="U221" s="32">
        <v>219</v>
      </c>
      <c r="V221" s="32" t="s">
        <v>104</v>
      </c>
    </row>
    <row r="222" spans="18:22" x14ac:dyDescent="0.25">
      <c r="R222" s="32">
        <v>220</v>
      </c>
      <c r="S222" s="21">
        <v>70</v>
      </c>
      <c r="T222" s="21"/>
      <c r="U222" s="32">
        <v>220</v>
      </c>
      <c r="V222" s="32" t="s">
        <v>104</v>
      </c>
    </row>
    <row r="223" spans="18:22" x14ac:dyDescent="0.25">
      <c r="R223" s="32">
        <v>221</v>
      </c>
      <c r="S223" s="21">
        <v>70</v>
      </c>
      <c r="T223" s="21"/>
      <c r="U223" s="32">
        <v>221</v>
      </c>
      <c r="V223" s="32" t="s">
        <v>104</v>
      </c>
    </row>
    <row r="224" spans="18:22" x14ac:dyDescent="0.25">
      <c r="R224" s="32">
        <v>222</v>
      </c>
      <c r="S224" s="21">
        <v>70</v>
      </c>
      <c r="T224" s="21"/>
      <c r="U224" s="32">
        <v>222</v>
      </c>
      <c r="V224" s="32" t="s">
        <v>104</v>
      </c>
    </row>
    <row r="225" spans="18:22" x14ac:dyDescent="0.25">
      <c r="R225" s="32">
        <v>223</v>
      </c>
      <c r="S225" s="21">
        <v>70</v>
      </c>
      <c r="T225" s="21"/>
      <c r="U225" s="32">
        <v>223</v>
      </c>
      <c r="V225" s="32" t="s">
        <v>104</v>
      </c>
    </row>
    <row r="226" spans="18:22" x14ac:dyDescent="0.25">
      <c r="R226" s="32">
        <v>224</v>
      </c>
      <c r="S226" s="21">
        <v>70</v>
      </c>
      <c r="T226" s="21"/>
      <c r="U226" s="32">
        <v>224</v>
      </c>
      <c r="V226" s="32" t="s">
        <v>104</v>
      </c>
    </row>
    <row r="227" spans="18:22" x14ac:dyDescent="0.25">
      <c r="R227" s="32">
        <v>225</v>
      </c>
      <c r="S227" s="21">
        <v>70</v>
      </c>
      <c r="T227" s="21"/>
      <c r="U227" s="32">
        <v>225</v>
      </c>
      <c r="V227" s="32" t="s">
        <v>104</v>
      </c>
    </row>
    <row r="228" spans="18:22" x14ac:dyDescent="0.25">
      <c r="R228" s="32">
        <v>226</v>
      </c>
      <c r="S228" s="21">
        <v>70</v>
      </c>
      <c r="T228" s="21"/>
      <c r="U228" s="32">
        <v>226</v>
      </c>
      <c r="V228" s="32" t="s">
        <v>104</v>
      </c>
    </row>
    <row r="229" spans="18:22" x14ac:dyDescent="0.25">
      <c r="R229" s="32">
        <v>227</v>
      </c>
      <c r="S229" s="21">
        <v>70</v>
      </c>
      <c r="T229" s="21"/>
      <c r="U229" s="32">
        <v>227</v>
      </c>
      <c r="V229" s="32" t="s">
        <v>104</v>
      </c>
    </row>
    <row r="230" spans="18:22" x14ac:dyDescent="0.25">
      <c r="R230" s="32">
        <v>228</v>
      </c>
      <c r="S230" s="21">
        <v>70</v>
      </c>
      <c r="T230" s="21"/>
      <c r="U230" s="32">
        <v>228</v>
      </c>
      <c r="V230" t="s">
        <v>104</v>
      </c>
    </row>
    <row r="231" spans="18:22" x14ac:dyDescent="0.25">
      <c r="R231" s="32">
        <v>229</v>
      </c>
      <c r="S231" s="21">
        <v>70</v>
      </c>
      <c r="T231" s="21"/>
      <c r="U231" s="32">
        <v>229</v>
      </c>
      <c r="V231" s="32" t="s">
        <v>104</v>
      </c>
    </row>
    <row r="232" spans="18:22" x14ac:dyDescent="0.25">
      <c r="R232" s="32">
        <v>230</v>
      </c>
      <c r="S232" s="21">
        <v>70</v>
      </c>
      <c r="T232" s="21"/>
      <c r="U232" s="32">
        <v>230</v>
      </c>
      <c r="V232" s="32" t="s">
        <v>104</v>
      </c>
    </row>
    <row r="233" spans="18:22" x14ac:dyDescent="0.25">
      <c r="R233" s="32">
        <v>231</v>
      </c>
      <c r="S233" s="21">
        <v>70</v>
      </c>
      <c r="T233" s="21"/>
      <c r="U233" s="32">
        <v>231</v>
      </c>
      <c r="V233" s="32" t="s">
        <v>104</v>
      </c>
    </row>
    <row r="234" spans="18:22" x14ac:dyDescent="0.25">
      <c r="R234" s="32">
        <v>232</v>
      </c>
      <c r="S234" s="21">
        <v>70</v>
      </c>
      <c r="T234" s="21"/>
      <c r="U234" s="32">
        <v>232</v>
      </c>
      <c r="V234" s="32" t="s">
        <v>104</v>
      </c>
    </row>
    <row r="235" spans="18:22" x14ac:dyDescent="0.25">
      <c r="R235" s="32">
        <v>233</v>
      </c>
      <c r="S235" s="21">
        <v>70</v>
      </c>
      <c r="T235" s="21"/>
      <c r="U235" s="32">
        <v>233</v>
      </c>
      <c r="V235" s="32" t="s">
        <v>104</v>
      </c>
    </row>
    <row r="236" spans="18:22" x14ac:dyDescent="0.25">
      <c r="R236" s="32">
        <v>234</v>
      </c>
      <c r="S236" s="21">
        <v>70</v>
      </c>
      <c r="T236" s="21"/>
      <c r="U236" s="32">
        <v>234</v>
      </c>
      <c r="V236" s="32" t="s">
        <v>104</v>
      </c>
    </row>
    <row r="237" spans="18:22" x14ac:dyDescent="0.25">
      <c r="R237" s="32">
        <v>235</v>
      </c>
      <c r="S237" s="21">
        <v>70</v>
      </c>
      <c r="T237" s="21"/>
      <c r="U237" s="32">
        <v>235</v>
      </c>
      <c r="V237" s="32" t="s">
        <v>104</v>
      </c>
    </row>
    <row r="238" spans="18:22" x14ac:dyDescent="0.25">
      <c r="R238" s="32">
        <v>236</v>
      </c>
      <c r="S238" s="21">
        <v>70</v>
      </c>
      <c r="T238" s="21"/>
      <c r="U238" s="32">
        <v>236</v>
      </c>
      <c r="V238" s="32" t="s">
        <v>104</v>
      </c>
    </row>
    <row r="239" spans="18:22" x14ac:dyDescent="0.25">
      <c r="R239" s="32">
        <v>237</v>
      </c>
      <c r="S239" s="21">
        <v>70</v>
      </c>
      <c r="T239" s="21"/>
      <c r="U239" s="32">
        <v>237</v>
      </c>
      <c r="V239" s="32" t="s">
        <v>104</v>
      </c>
    </row>
    <row r="240" spans="18:22" x14ac:dyDescent="0.25">
      <c r="R240" s="32">
        <v>238</v>
      </c>
      <c r="S240" s="21">
        <v>70</v>
      </c>
      <c r="T240" s="21"/>
      <c r="U240" s="32">
        <v>238</v>
      </c>
      <c r="V240" s="32" t="s">
        <v>104</v>
      </c>
    </row>
    <row r="241" spans="18:22" x14ac:dyDescent="0.25">
      <c r="R241" s="32">
        <v>239</v>
      </c>
      <c r="S241" s="21">
        <v>70</v>
      </c>
      <c r="T241" s="21"/>
      <c r="U241" s="32">
        <v>239</v>
      </c>
      <c r="V241" s="32" t="s">
        <v>104</v>
      </c>
    </row>
    <row r="242" spans="18:22" x14ac:dyDescent="0.25">
      <c r="R242" s="32">
        <v>240</v>
      </c>
      <c r="S242" s="32">
        <v>95</v>
      </c>
      <c r="U242" s="32">
        <v>240</v>
      </c>
      <c r="V242" s="32" t="s">
        <v>105</v>
      </c>
    </row>
    <row r="243" spans="18:22" x14ac:dyDescent="0.25">
      <c r="R243" s="32">
        <v>241</v>
      </c>
      <c r="S243" s="32">
        <v>95</v>
      </c>
      <c r="U243" s="32">
        <v>241</v>
      </c>
      <c r="V243" s="32" t="s">
        <v>105</v>
      </c>
    </row>
    <row r="244" spans="18:22" x14ac:dyDescent="0.25">
      <c r="R244" s="32">
        <v>242</v>
      </c>
      <c r="S244" s="32">
        <v>95</v>
      </c>
      <c r="U244" s="32">
        <v>242</v>
      </c>
      <c r="V244" s="32" t="s">
        <v>105</v>
      </c>
    </row>
    <row r="245" spans="18:22" x14ac:dyDescent="0.25">
      <c r="R245" s="32">
        <v>243</v>
      </c>
      <c r="S245" s="32">
        <v>95</v>
      </c>
      <c r="U245" s="32">
        <v>243</v>
      </c>
      <c r="V245" t="s">
        <v>105</v>
      </c>
    </row>
    <row r="246" spans="18:22" x14ac:dyDescent="0.25">
      <c r="R246" s="32">
        <v>244</v>
      </c>
      <c r="S246" s="32">
        <v>95</v>
      </c>
      <c r="U246" s="32">
        <v>244</v>
      </c>
      <c r="V246" s="32" t="s">
        <v>105</v>
      </c>
    </row>
    <row r="247" spans="18:22" x14ac:dyDescent="0.25">
      <c r="R247" s="32">
        <v>245</v>
      </c>
      <c r="S247" s="32">
        <v>95</v>
      </c>
      <c r="U247" s="32">
        <v>245</v>
      </c>
      <c r="V247" s="32" t="s">
        <v>105</v>
      </c>
    </row>
    <row r="248" spans="18:22" x14ac:dyDescent="0.25">
      <c r="R248" s="32">
        <v>246</v>
      </c>
      <c r="S248" s="32">
        <v>95</v>
      </c>
      <c r="U248" s="32">
        <v>246</v>
      </c>
      <c r="V248" s="32" t="s">
        <v>105</v>
      </c>
    </row>
    <row r="249" spans="18:22" x14ac:dyDescent="0.25">
      <c r="R249" s="32">
        <v>247</v>
      </c>
      <c r="S249" s="32">
        <v>95</v>
      </c>
      <c r="U249" s="32">
        <v>247</v>
      </c>
      <c r="V249" s="32" t="s">
        <v>105</v>
      </c>
    </row>
    <row r="250" spans="18:22" x14ac:dyDescent="0.25">
      <c r="R250" s="32">
        <v>248</v>
      </c>
      <c r="S250" s="32">
        <v>95</v>
      </c>
      <c r="U250" s="32">
        <v>248</v>
      </c>
      <c r="V250" s="32" t="s">
        <v>105</v>
      </c>
    </row>
    <row r="251" spans="18:22" x14ac:dyDescent="0.25">
      <c r="R251" s="32">
        <v>249</v>
      </c>
      <c r="S251" s="32">
        <v>95</v>
      </c>
      <c r="U251" s="32">
        <v>249</v>
      </c>
      <c r="V251" s="32" t="s">
        <v>105</v>
      </c>
    </row>
    <row r="252" spans="18:22" x14ac:dyDescent="0.25">
      <c r="R252" s="32">
        <v>250</v>
      </c>
      <c r="S252" s="32">
        <v>95</v>
      </c>
      <c r="U252" s="32">
        <v>250</v>
      </c>
      <c r="V252" s="32" t="s">
        <v>105</v>
      </c>
    </row>
    <row r="253" spans="18:22" x14ac:dyDescent="0.25">
      <c r="R253" s="32">
        <v>251</v>
      </c>
      <c r="S253" s="32">
        <v>95</v>
      </c>
      <c r="U253" s="32">
        <v>251</v>
      </c>
      <c r="V253" s="32" t="s">
        <v>105</v>
      </c>
    </row>
    <row r="254" spans="18:22" x14ac:dyDescent="0.25">
      <c r="R254" s="32">
        <v>252</v>
      </c>
      <c r="S254" s="32">
        <v>95</v>
      </c>
      <c r="U254" s="32">
        <v>252</v>
      </c>
      <c r="V254" s="32" t="s">
        <v>105</v>
      </c>
    </row>
    <row r="255" spans="18:22" x14ac:dyDescent="0.25">
      <c r="R255" s="32">
        <v>253</v>
      </c>
      <c r="S255" s="32">
        <v>95</v>
      </c>
      <c r="U255" s="32">
        <v>253</v>
      </c>
      <c r="V255" s="32" t="s">
        <v>105</v>
      </c>
    </row>
    <row r="256" spans="18:22" x14ac:dyDescent="0.25">
      <c r="R256" s="32">
        <v>254</v>
      </c>
      <c r="S256" s="32">
        <v>95</v>
      </c>
      <c r="U256" s="32">
        <v>254</v>
      </c>
      <c r="V256" s="32" t="s">
        <v>105</v>
      </c>
    </row>
    <row r="257" spans="18:22" x14ac:dyDescent="0.25">
      <c r="R257" s="32">
        <v>255</v>
      </c>
      <c r="S257" s="32">
        <v>95</v>
      </c>
      <c r="U257" s="32">
        <v>255</v>
      </c>
      <c r="V257" s="32" t="s">
        <v>105</v>
      </c>
    </row>
    <row r="258" spans="18:22" x14ac:dyDescent="0.25">
      <c r="R258" s="32">
        <v>256</v>
      </c>
      <c r="S258" s="32">
        <v>95</v>
      </c>
      <c r="U258" s="32">
        <v>256</v>
      </c>
      <c r="V258" t="s">
        <v>105</v>
      </c>
    </row>
    <row r="259" spans="18:22" x14ac:dyDescent="0.25">
      <c r="R259" s="32">
        <v>257</v>
      </c>
      <c r="S259" s="32">
        <v>95</v>
      </c>
      <c r="U259" s="32">
        <v>257</v>
      </c>
      <c r="V259" s="32" t="s">
        <v>105</v>
      </c>
    </row>
    <row r="260" spans="18:22" x14ac:dyDescent="0.25">
      <c r="R260" s="32">
        <v>258</v>
      </c>
      <c r="S260" s="32">
        <v>95</v>
      </c>
      <c r="U260" s="32">
        <v>258</v>
      </c>
      <c r="V260" s="32" t="s">
        <v>105</v>
      </c>
    </row>
    <row r="261" spans="18:22" x14ac:dyDescent="0.25">
      <c r="R261" s="32">
        <v>259</v>
      </c>
      <c r="S261" s="32">
        <v>95</v>
      </c>
      <c r="U261" s="32">
        <v>259</v>
      </c>
      <c r="V261" s="32" t="s">
        <v>105</v>
      </c>
    </row>
    <row r="262" spans="18:22" x14ac:dyDescent="0.25">
      <c r="R262" s="32">
        <v>260</v>
      </c>
      <c r="S262" s="32">
        <v>95</v>
      </c>
      <c r="U262" s="32">
        <v>260</v>
      </c>
      <c r="V262" s="32" t="s">
        <v>105</v>
      </c>
    </row>
    <row r="263" spans="18:22" x14ac:dyDescent="0.25">
      <c r="R263" s="32">
        <v>261</v>
      </c>
      <c r="S263" s="32">
        <v>95</v>
      </c>
      <c r="U263" s="32">
        <v>261</v>
      </c>
      <c r="V263" s="32" t="s">
        <v>105</v>
      </c>
    </row>
    <row r="264" spans="18:22" x14ac:dyDescent="0.25">
      <c r="R264" s="32">
        <v>262</v>
      </c>
      <c r="S264" s="32">
        <v>95</v>
      </c>
      <c r="U264" s="32">
        <v>262</v>
      </c>
      <c r="V264" s="32" t="s">
        <v>105</v>
      </c>
    </row>
    <row r="265" spans="18:22" x14ac:dyDescent="0.25">
      <c r="R265" s="32">
        <v>263</v>
      </c>
      <c r="S265" s="32">
        <v>95</v>
      </c>
      <c r="U265" s="32">
        <v>263</v>
      </c>
      <c r="V265" s="32" t="s">
        <v>105</v>
      </c>
    </row>
    <row r="266" spans="18:22" x14ac:dyDescent="0.25">
      <c r="R266" s="32">
        <v>264</v>
      </c>
      <c r="S266" s="32">
        <v>95</v>
      </c>
      <c r="U266" s="32">
        <v>264</v>
      </c>
      <c r="V266" s="32" t="s">
        <v>105</v>
      </c>
    </row>
    <row r="267" spans="18:22" x14ac:dyDescent="0.25">
      <c r="R267" s="32">
        <v>265</v>
      </c>
      <c r="S267" s="32">
        <v>95</v>
      </c>
      <c r="U267" s="32">
        <v>265</v>
      </c>
      <c r="V267" s="32" t="s">
        <v>105</v>
      </c>
    </row>
    <row r="268" spans="18:22" x14ac:dyDescent="0.25">
      <c r="R268" s="32">
        <v>266</v>
      </c>
      <c r="S268" s="32">
        <v>95</v>
      </c>
      <c r="U268" s="32">
        <v>266</v>
      </c>
      <c r="V268" t="s">
        <v>105</v>
      </c>
    </row>
    <row r="269" spans="18:22" x14ac:dyDescent="0.25">
      <c r="R269" s="32">
        <v>267</v>
      </c>
      <c r="S269" s="32">
        <v>95</v>
      </c>
      <c r="U269" s="32">
        <v>267</v>
      </c>
      <c r="V269" t="s">
        <v>105</v>
      </c>
    </row>
    <row r="270" spans="18:22" x14ac:dyDescent="0.25">
      <c r="R270" s="32">
        <v>268</v>
      </c>
      <c r="S270" s="32">
        <v>95</v>
      </c>
      <c r="U270" s="32">
        <v>268</v>
      </c>
      <c r="V270" t="s">
        <v>105</v>
      </c>
    </row>
    <row r="271" spans="18:22" x14ac:dyDescent="0.25">
      <c r="R271" s="32">
        <v>269</v>
      </c>
      <c r="S271" s="32">
        <v>95</v>
      </c>
      <c r="U271" s="32">
        <v>269</v>
      </c>
      <c r="V271" t="s">
        <v>105</v>
      </c>
    </row>
    <row r="272" spans="18:22" x14ac:dyDescent="0.25">
      <c r="R272" s="32">
        <v>270</v>
      </c>
      <c r="S272" s="32">
        <v>95</v>
      </c>
      <c r="U272" s="32">
        <v>270</v>
      </c>
      <c r="V272" t="s">
        <v>105</v>
      </c>
    </row>
    <row r="273" spans="18:22" x14ac:dyDescent="0.25">
      <c r="R273" s="32">
        <v>271</v>
      </c>
      <c r="S273" s="32">
        <v>95</v>
      </c>
      <c r="U273" s="32">
        <v>271</v>
      </c>
      <c r="V273" t="s">
        <v>105</v>
      </c>
    </row>
    <row r="274" spans="18:22" x14ac:dyDescent="0.25">
      <c r="R274" s="32">
        <v>272</v>
      </c>
      <c r="S274" s="32">
        <v>95</v>
      </c>
      <c r="U274" s="32">
        <v>272</v>
      </c>
      <c r="V274" t="s">
        <v>105</v>
      </c>
    </row>
    <row r="275" spans="18:22" x14ac:dyDescent="0.25">
      <c r="R275" s="32">
        <v>273</v>
      </c>
      <c r="S275" s="32">
        <v>95</v>
      </c>
      <c r="U275" s="32">
        <v>273</v>
      </c>
      <c r="V275" t="s">
        <v>105</v>
      </c>
    </row>
    <row r="276" spans="18:22" x14ac:dyDescent="0.25">
      <c r="R276" s="32">
        <v>274</v>
      </c>
      <c r="S276" s="32">
        <v>95</v>
      </c>
      <c r="U276" s="32">
        <v>274</v>
      </c>
      <c r="V276" t="s">
        <v>105</v>
      </c>
    </row>
    <row r="277" spans="18:22" x14ac:dyDescent="0.25">
      <c r="R277" s="32">
        <v>275</v>
      </c>
      <c r="S277" s="32">
        <v>95</v>
      </c>
      <c r="U277" s="32">
        <v>275</v>
      </c>
      <c r="V277" t="s">
        <v>105</v>
      </c>
    </row>
    <row r="278" spans="18:22" x14ac:dyDescent="0.25">
      <c r="R278" s="32">
        <v>276</v>
      </c>
      <c r="S278" s="32">
        <v>95</v>
      </c>
      <c r="U278" s="32">
        <v>276</v>
      </c>
      <c r="V278" t="s">
        <v>105</v>
      </c>
    </row>
    <row r="279" spans="18:22" x14ac:dyDescent="0.25">
      <c r="R279" s="32">
        <v>277</v>
      </c>
      <c r="S279" s="32">
        <v>95</v>
      </c>
      <c r="U279" s="32">
        <v>277</v>
      </c>
      <c r="V279" t="s">
        <v>105</v>
      </c>
    </row>
    <row r="280" spans="18:22" x14ac:dyDescent="0.25">
      <c r="R280" s="32">
        <v>278</v>
      </c>
      <c r="S280" s="32">
        <v>95</v>
      </c>
      <c r="U280" s="32">
        <v>278</v>
      </c>
      <c r="V280" t="s">
        <v>105</v>
      </c>
    </row>
    <row r="281" spans="18:22" x14ac:dyDescent="0.25">
      <c r="R281" s="32">
        <v>279</v>
      </c>
      <c r="S281" s="32">
        <v>95</v>
      </c>
      <c r="U281" s="32">
        <v>279</v>
      </c>
      <c r="V281" t="s">
        <v>105</v>
      </c>
    </row>
    <row r="282" spans="18:22" x14ac:dyDescent="0.25">
      <c r="R282" s="32">
        <v>280</v>
      </c>
      <c r="S282" s="32">
        <v>95</v>
      </c>
      <c r="U282" s="32">
        <v>280</v>
      </c>
      <c r="V282" t="s">
        <v>105</v>
      </c>
    </row>
    <row r="283" spans="18:22" x14ac:dyDescent="0.25">
      <c r="R283" s="32">
        <v>281</v>
      </c>
      <c r="S283" s="32">
        <v>95</v>
      </c>
      <c r="U283" s="32">
        <v>281</v>
      </c>
      <c r="V283" t="s">
        <v>105</v>
      </c>
    </row>
    <row r="284" spans="18:22" x14ac:dyDescent="0.25">
      <c r="R284" s="32">
        <v>282</v>
      </c>
      <c r="S284" s="32">
        <v>95</v>
      </c>
      <c r="U284" s="32">
        <v>282</v>
      </c>
      <c r="V284" t="s">
        <v>105</v>
      </c>
    </row>
    <row r="285" spans="18:22" x14ac:dyDescent="0.25">
      <c r="R285" s="32">
        <v>283</v>
      </c>
      <c r="S285" s="32">
        <v>95</v>
      </c>
      <c r="U285" s="32">
        <v>283</v>
      </c>
      <c r="V285" t="s">
        <v>105</v>
      </c>
    </row>
    <row r="286" spans="18:22" x14ac:dyDescent="0.25">
      <c r="R286" s="32">
        <v>284</v>
      </c>
      <c r="S286" s="32">
        <v>95</v>
      </c>
      <c r="U286" s="32">
        <v>284</v>
      </c>
      <c r="V286" t="s">
        <v>105</v>
      </c>
    </row>
    <row r="287" spans="18:22" x14ac:dyDescent="0.25">
      <c r="R287" s="32">
        <v>285</v>
      </c>
      <c r="S287" s="32">
        <v>95</v>
      </c>
      <c r="U287" s="32">
        <v>285</v>
      </c>
      <c r="V287" t="s">
        <v>105</v>
      </c>
    </row>
    <row r="288" spans="18:22" x14ac:dyDescent="0.25">
      <c r="R288" s="32">
        <v>286</v>
      </c>
      <c r="S288" s="32">
        <v>95</v>
      </c>
      <c r="U288" s="32">
        <v>286</v>
      </c>
      <c r="V288" t="s">
        <v>105</v>
      </c>
    </row>
    <row r="289" spans="18:26" x14ac:dyDescent="0.25">
      <c r="R289" s="32">
        <v>287</v>
      </c>
      <c r="S289" s="32">
        <v>95</v>
      </c>
      <c r="U289" s="32">
        <v>287</v>
      </c>
      <c r="V289" t="s">
        <v>105</v>
      </c>
    </row>
    <row r="290" spans="18:26" x14ac:dyDescent="0.25">
      <c r="R290" s="32">
        <v>288</v>
      </c>
      <c r="S290" s="32">
        <v>95</v>
      </c>
      <c r="U290" s="32">
        <v>288</v>
      </c>
      <c r="V290" t="s">
        <v>105</v>
      </c>
    </row>
    <row r="291" spans="18:26" x14ac:dyDescent="0.25">
      <c r="R291" s="32">
        <v>289</v>
      </c>
      <c r="S291" s="32">
        <v>95</v>
      </c>
      <c r="U291" s="32">
        <v>289</v>
      </c>
      <c r="V291" t="s">
        <v>105</v>
      </c>
      <c r="Y291" s="21"/>
      <c r="Z291" s="21"/>
    </row>
    <row r="292" spans="18:26" x14ac:dyDescent="0.25">
      <c r="R292" s="32">
        <v>290</v>
      </c>
      <c r="S292" s="32">
        <v>95</v>
      </c>
      <c r="U292" s="32">
        <v>290</v>
      </c>
      <c r="V292" t="s">
        <v>105</v>
      </c>
      <c r="Y292" s="21"/>
      <c r="Z292" s="21"/>
    </row>
    <row r="293" spans="18:26" x14ac:dyDescent="0.25">
      <c r="R293" s="32">
        <v>291</v>
      </c>
      <c r="S293" s="32">
        <v>95</v>
      </c>
      <c r="U293" s="32">
        <v>291</v>
      </c>
      <c r="V293" t="s">
        <v>105</v>
      </c>
      <c r="Y293" s="21"/>
      <c r="Z293" s="21"/>
    </row>
    <row r="294" spans="18:26" x14ac:dyDescent="0.25">
      <c r="R294" s="32">
        <v>292</v>
      </c>
      <c r="S294" s="32">
        <v>95</v>
      </c>
      <c r="U294" s="32">
        <v>292</v>
      </c>
      <c r="V294" t="s">
        <v>105</v>
      </c>
      <c r="Y294" s="21"/>
      <c r="Z294" s="21"/>
    </row>
    <row r="295" spans="18:26" x14ac:dyDescent="0.25">
      <c r="R295" s="32">
        <v>293</v>
      </c>
      <c r="S295" s="32">
        <v>95</v>
      </c>
      <c r="U295" s="32">
        <v>293</v>
      </c>
      <c r="V295" t="s">
        <v>105</v>
      </c>
      <c r="Y295" s="21"/>
      <c r="Z295" s="21"/>
    </row>
    <row r="296" spans="18:26" x14ac:dyDescent="0.25">
      <c r="R296" s="32">
        <v>294</v>
      </c>
      <c r="S296" s="32">
        <v>95</v>
      </c>
      <c r="U296" s="32">
        <v>294</v>
      </c>
      <c r="V296" t="s">
        <v>105</v>
      </c>
      <c r="Y296" s="21"/>
      <c r="Z296" s="21"/>
    </row>
    <row r="297" spans="18:26" x14ac:dyDescent="0.25">
      <c r="R297" s="32">
        <v>295</v>
      </c>
      <c r="S297" s="32">
        <v>95</v>
      </c>
      <c r="U297" s="32">
        <v>295</v>
      </c>
      <c r="V297" t="s">
        <v>105</v>
      </c>
      <c r="Y297" s="21"/>
      <c r="Z297" s="21"/>
    </row>
    <row r="298" spans="18:26" x14ac:dyDescent="0.25">
      <c r="R298" s="32">
        <v>296</v>
      </c>
      <c r="S298" s="32">
        <v>95</v>
      </c>
      <c r="U298" s="32">
        <v>296</v>
      </c>
      <c r="V298" t="s">
        <v>105</v>
      </c>
      <c r="Y298" s="21"/>
      <c r="Z298" s="21"/>
    </row>
    <row r="299" spans="18:26" x14ac:dyDescent="0.25">
      <c r="R299" s="32">
        <v>297</v>
      </c>
      <c r="S299" s="32">
        <v>95</v>
      </c>
      <c r="U299" s="32">
        <v>297</v>
      </c>
      <c r="V299" t="s">
        <v>105</v>
      </c>
      <c r="Y299" s="21"/>
      <c r="Z299" s="21"/>
    </row>
    <row r="300" spans="18:26" x14ac:dyDescent="0.25">
      <c r="R300" s="32">
        <v>298</v>
      </c>
      <c r="S300" s="32">
        <v>95</v>
      </c>
      <c r="U300" s="32">
        <v>298</v>
      </c>
      <c r="V300" t="s">
        <v>105</v>
      </c>
      <c r="Y300" s="21"/>
      <c r="Z300" s="21"/>
    </row>
    <row r="301" spans="18:26" x14ac:dyDescent="0.25">
      <c r="R301" s="32">
        <v>299</v>
      </c>
      <c r="S301" s="32">
        <v>95</v>
      </c>
      <c r="U301" s="32">
        <v>299</v>
      </c>
      <c r="V301" t="s">
        <v>105</v>
      </c>
      <c r="Y301" s="21"/>
      <c r="Z301" s="21"/>
    </row>
    <row r="302" spans="18:26" x14ac:dyDescent="0.25">
      <c r="R302">
        <v>300</v>
      </c>
      <c r="S302" s="32">
        <v>95</v>
      </c>
      <c r="U302" s="32">
        <v>300</v>
      </c>
      <c r="V302" t="s">
        <v>105</v>
      </c>
    </row>
    <row r="303" spans="18:26" x14ac:dyDescent="0.25">
      <c r="R303">
        <v>301</v>
      </c>
      <c r="S303">
        <v>95</v>
      </c>
      <c r="U303" s="32">
        <v>301</v>
      </c>
      <c r="V303" t="s">
        <v>105</v>
      </c>
    </row>
    <row r="304" spans="18:26" x14ac:dyDescent="0.25">
      <c r="R304">
        <v>302</v>
      </c>
      <c r="S304">
        <v>95</v>
      </c>
      <c r="U304" s="32">
        <v>302</v>
      </c>
      <c r="V304" t="s">
        <v>105</v>
      </c>
    </row>
  </sheetData>
  <sortState ref="V3:V121">
    <sortCondition descending="1" ref="V12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785FF-603E-4E0B-B5ED-394D734485C3}">
  <dimension ref="A1:M124"/>
  <sheetViews>
    <sheetView zoomScale="85" zoomScaleNormal="85" workbookViewId="0">
      <selection activeCell="F4" sqref="F4"/>
    </sheetView>
  </sheetViews>
  <sheetFormatPr defaultRowHeight="15" x14ac:dyDescent="0.25"/>
  <cols>
    <col min="1" max="1" width="2.7109375" style="145" customWidth="1"/>
    <col min="2" max="2" width="44.7109375" style="145" customWidth="1"/>
    <col min="3" max="3" width="31.7109375" style="145" customWidth="1"/>
    <col min="4" max="4" width="7.7109375" style="145" customWidth="1"/>
    <col min="5" max="5" width="16.7109375" style="145" customWidth="1"/>
    <col min="6" max="6" width="13.85546875" style="169" customWidth="1"/>
    <col min="7" max="7" width="12.140625" style="145" customWidth="1"/>
    <col min="8" max="8" width="11.85546875" style="145" customWidth="1"/>
    <col min="9" max="9" width="15" style="145" customWidth="1"/>
    <col min="10" max="10" width="2.7109375" style="145" customWidth="1"/>
    <col min="11" max="12" width="6.28515625" style="145" customWidth="1"/>
    <col min="13" max="13" width="25.85546875" style="145" customWidth="1"/>
    <col min="14" max="14" width="27.140625" style="145" customWidth="1"/>
    <col min="15" max="15" width="32.85546875" style="145" customWidth="1"/>
    <col min="16" max="16" width="11.7109375" style="145" customWidth="1"/>
    <col min="17" max="17" width="13" style="145" customWidth="1"/>
    <col min="18" max="18" width="19.85546875" style="145" customWidth="1"/>
    <col min="19" max="19" width="23.140625" style="145" customWidth="1"/>
    <col min="20" max="20" width="21.5703125" style="145" customWidth="1"/>
    <col min="21" max="21" width="15.42578125" style="145" customWidth="1"/>
    <col min="22" max="16384" width="9.140625" style="145"/>
  </cols>
  <sheetData>
    <row r="1" spans="1:12" x14ac:dyDescent="0.25">
      <c r="A1" s="143"/>
      <c r="B1" s="143"/>
      <c r="C1" s="143"/>
      <c r="D1" s="143"/>
      <c r="E1" s="143"/>
      <c r="F1" s="144"/>
      <c r="G1" s="143"/>
      <c r="H1" s="143"/>
      <c r="I1" s="143"/>
      <c r="J1" s="143"/>
    </row>
    <row r="2" spans="1:12" ht="15.75" x14ac:dyDescent="0.25">
      <c r="A2" s="143"/>
      <c r="B2" s="146" t="s">
        <v>82</v>
      </c>
      <c r="C2" s="194" t="s">
        <v>244</v>
      </c>
      <c r="D2" s="274"/>
      <c r="E2" s="272"/>
      <c r="F2" s="272"/>
      <c r="G2" s="272"/>
      <c r="H2" s="272"/>
      <c r="I2" s="272"/>
      <c r="J2" s="143"/>
    </row>
    <row r="3" spans="1:12" ht="15.75" x14ac:dyDescent="0.25">
      <c r="A3" s="143"/>
      <c r="B3" s="146" t="s">
        <v>53</v>
      </c>
      <c r="C3" s="194" t="s">
        <v>245</v>
      </c>
      <c r="D3" s="274"/>
      <c r="E3" s="273"/>
      <c r="F3" s="273"/>
      <c r="G3" s="273"/>
      <c r="H3" s="273"/>
      <c r="I3" s="273"/>
      <c r="J3" s="143"/>
    </row>
    <row r="4" spans="1:12" ht="15.75" x14ac:dyDescent="0.25">
      <c r="A4" s="143"/>
      <c r="B4" s="277"/>
      <c r="C4" s="277"/>
      <c r="D4" s="274"/>
      <c r="E4" s="147" t="s">
        <v>71</v>
      </c>
      <c r="F4" s="193" t="s">
        <v>72</v>
      </c>
      <c r="G4" s="148"/>
      <c r="H4" s="148"/>
      <c r="I4" s="148"/>
      <c r="J4" s="143"/>
    </row>
    <row r="5" spans="1:12" ht="15.75" x14ac:dyDescent="0.25">
      <c r="A5" s="143"/>
      <c r="B5" s="270" t="s">
        <v>200</v>
      </c>
      <c r="C5" s="271"/>
      <c r="D5" s="274"/>
      <c r="E5" s="149" t="str">
        <f>IF(F4='Values &amp; Tables'!C2,"Workers",IF(F4='Values &amp; Tables'!C3,"Adults",0))</f>
        <v>Workers</v>
      </c>
      <c r="F5" s="171">
        <v>4</v>
      </c>
      <c r="G5" s="148"/>
      <c r="H5" s="148"/>
      <c r="I5" s="148"/>
      <c r="J5" s="143"/>
    </row>
    <row r="6" spans="1:12" ht="15.75" x14ac:dyDescent="0.25">
      <c r="A6" s="143"/>
      <c r="B6" s="146" t="s">
        <v>161</v>
      </c>
      <c r="C6" s="195" t="s">
        <v>62</v>
      </c>
      <c r="D6" s="274"/>
      <c r="E6" s="149" t="str">
        <f>IF(F4='Values &amp; Tables'!C3,"Kids",IF(F4='Values &amp; Tables'!C2,"Costumers",0))</f>
        <v>Costumers</v>
      </c>
      <c r="F6" s="172" t="s">
        <v>60</v>
      </c>
      <c r="G6" s="148"/>
      <c r="H6" s="150"/>
      <c r="I6" s="150"/>
      <c r="J6" s="143"/>
      <c r="K6" s="151"/>
      <c r="L6" s="151"/>
    </row>
    <row r="7" spans="1:12" ht="15.75" x14ac:dyDescent="0.25">
      <c r="A7" s="143"/>
      <c r="B7" s="146" t="s">
        <v>162</v>
      </c>
      <c r="C7" s="194" t="s">
        <v>49</v>
      </c>
      <c r="D7" s="274"/>
      <c r="E7" s="148"/>
      <c r="F7" s="152"/>
      <c r="G7" s="148"/>
      <c r="H7" s="148"/>
      <c r="I7" s="148"/>
      <c r="J7" s="143"/>
      <c r="K7" s="151"/>
      <c r="L7" s="151"/>
    </row>
    <row r="8" spans="1:12" ht="15.75" x14ac:dyDescent="0.25">
      <c r="A8" s="143"/>
      <c r="B8" s="277"/>
      <c r="C8" s="277"/>
      <c r="D8" s="274"/>
      <c r="E8" s="149" t="str">
        <f>IF(F4='Values &amp; Tables'!C2,"Working days:",'Values &amp; Tables'!C4)</f>
        <v>Working days:</v>
      </c>
      <c r="F8" s="153" t="str">
        <f>IF(F4='Values &amp; Tables'!C2,"From:",'Values &amp; Tables'!C4)</f>
        <v>From:</v>
      </c>
      <c r="G8" s="141" t="s">
        <v>74</v>
      </c>
      <c r="H8" s="154" t="str">
        <f>IF(F4='Values &amp; Tables'!C2,"To:",'Values &amp; Tables'!C4)</f>
        <v>To:</v>
      </c>
      <c r="I8" s="141" t="s">
        <v>78</v>
      </c>
      <c r="J8" s="143"/>
      <c r="K8" s="151"/>
      <c r="L8" s="151"/>
    </row>
    <row r="9" spans="1:12" ht="15.75" x14ac:dyDescent="0.25">
      <c r="A9" s="143"/>
      <c r="B9" s="270" t="s">
        <v>157</v>
      </c>
      <c r="C9" s="271"/>
      <c r="D9" s="274"/>
      <c r="E9" s="149" t="str">
        <f>IF(F4='Values &amp; Tables'!C2,"Working time:",'Values &amp; Tables'!C4)</f>
        <v>Working time:</v>
      </c>
      <c r="F9" s="153" t="str">
        <f>IF(F4='Values &amp; Tables'!C2,"From:",'Values &amp; Tables'!C4)</f>
        <v>From:</v>
      </c>
      <c r="G9" s="142">
        <v>0.33333333333333398</v>
      </c>
      <c r="H9" s="154" t="str">
        <f>IF(F4='Values &amp; Tables'!C2,"To:",'Values &amp; Tables'!C4)</f>
        <v>To:</v>
      </c>
      <c r="I9" s="142">
        <v>0.85416666666666696</v>
      </c>
      <c r="J9" s="143"/>
    </row>
    <row r="10" spans="1:12" ht="15.75" x14ac:dyDescent="0.25">
      <c r="A10" s="143"/>
      <c r="B10" s="146" t="s">
        <v>56</v>
      </c>
      <c r="C10" s="196" t="s">
        <v>57</v>
      </c>
      <c r="D10" s="274"/>
      <c r="E10" s="149" t="str">
        <f>IF(F4='Values &amp; Tables'!C2,"Working days:",'Values &amp; Tables'!C4)</f>
        <v>Working days:</v>
      </c>
      <c r="F10" s="155" t="str">
        <f>IF(F4='Values &amp; Tables'!C2,"From:",'Values &amp; Tables'!C4)</f>
        <v>From:</v>
      </c>
      <c r="G10" s="141" t="s">
        <v>61</v>
      </c>
      <c r="H10" s="154" t="str">
        <f>IF(F4='Values &amp; Tables'!C2,"To:",'Values &amp; Tables'!C4)</f>
        <v>To:</v>
      </c>
      <c r="I10" s="141" t="s">
        <v>61</v>
      </c>
      <c r="J10" s="143"/>
    </row>
    <row r="11" spans="1:12" ht="15.75" x14ac:dyDescent="0.25">
      <c r="A11" s="143"/>
      <c r="B11" s="146" t="s">
        <v>81</v>
      </c>
      <c r="C11" s="196" t="s">
        <v>67</v>
      </c>
      <c r="D11" s="274"/>
      <c r="E11" s="149" t="str">
        <f>IF(F4='Values &amp; Tables'!C2,"Working time:",'Values &amp; Tables'!C4)</f>
        <v>Working time:</v>
      </c>
      <c r="F11" s="155" t="str">
        <f>IF(F4='Values &amp; Tables'!C2,"From:",'Values &amp; Tables'!C4)</f>
        <v>From:</v>
      </c>
      <c r="G11" s="142">
        <v>0.33333333333333398</v>
      </c>
      <c r="H11" s="154" t="str">
        <f>IF(F4='Values &amp; Tables'!C2,"To:",'Values &amp; Tables'!C4)</f>
        <v>To:</v>
      </c>
      <c r="I11" s="142">
        <v>0.60416666666666696</v>
      </c>
      <c r="J11" s="143"/>
    </row>
    <row r="12" spans="1:12" ht="15.75" x14ac:dyDescent="0.25">
      <c r="A12" s="143"/>
      <c r="B12" s="146" t="s">
        <v>58</v>
      </c>
      <c r="C12" s="195" t="s">
        <v>67</v>
      </c>
      <c r="D12" s="274"/>
      <c r="E12" s="149" t="str">
        <f>IF(F4='Values &amp; Tables'!C2,"Working days:",'Values &amp; Tables'!C4)</f>
        <v>Working days:</v>
      </c>
      <c r="F12" s="155" t="str">
        <f>IF(F4='Values &amp; Tables'!C2,"From:",'Values &amp; Tables'!C4)</f>
        <v>From:</v>
      </c>
      <c r="G12" s="141" t="s">
        <v>79</v>
      </c>
      <c r="H12" s="154" t="str">
        <f>IF(F4='Values &amp; Tables'!C2,"To:",'Values &amp; Tables'!C4)</f>
        <v>To:</v>
      </c>
      <c r="I12" s="141" t="s">
        <v>79</v>
      </c>
      <c r="J12" s="143"/>
    </row>
    <row r="13" spans="1:12" ht="15.75" x14ac:dyDescent="0.25">
      <c r="A13" s="143"/>
      <c r="B13" s="146" t="s">
        <v>85</v>
      </c>
      <c r="C13" s="195" t="s">
        <v>57</v>
      </c>
      <c r="D13" s="274"/>
      <c r="E13" s="156" t="str">
        <f>IF(F4='Values &amp; Tables'!C2,"Working time:",'Values &amp; Tables'!C4)</f>
        <v>Working time:</v>
      </c>
      <c r="F13" s="155" t="str">
        <f>IF(F4='Values &amp; Tables'!C2,"From:",'Values &amp; Tables'!C4)</f>
        <v>From:</v>
      </c>
      <c r="G13" s="142" t="s">
        <v>80</v>
      </c>
      <c r="H13" s="154" t="str">
        <f>IF(F4='Values &amp; Tables'!C2,"To:",'Values &amp; Tables'!C4)</f>
        <v>To:</v>
      </c>
      <c r="I13" s="142" t="s">
        <v>80</v>
      </c>
      <c r="J13" s="143"/>
    </row>
    <row r="14" spans="1:12" ht="15.75" x14ac:dyDescent="0.25">
      <c r="A14" s="143"/>
      <c r="B14" s="146" t="s">
        <v>90</v>
      </c>
      <c r="C14" s="195" t="s">
        <v>49</v>
      </c>
      <c r="D14" s="275"/>
      <c r="E14" s="276"/>
      <c r="F14" s="276"/>
      <c r="G14" s="276"/>
      <c r="H14" s="276"/>
      <c r="I14" s="276"/>
      <c r="J14" s="143"/>
    </row>
    <row r="15" spans="1:12" ht="15.75" x14ac:dyDescent="0.25">
      <c r="A15" s="143"/>
      <c r="B15" s="146" t="s">
        <v>121</v>
      </c>
      <c r="C15" s="195" t="s">
        <v>62</v>
      </c>
      <c r="D15" s="275"/>
      <c r="E15" s="276"/>
      <c r="F15" s="276"/>
      <c r="G15" s="276"/>
      <c r="H15" s="276"/>
      <c r="I15" s="276"/>
      <c r="J15" s="143"/>
    </row>
    <row r="16" spans="1:12" x14ac:dyDescent="0.25">
      <c r="A16" s="143"/>
      <c r="B16" s="272"/>
      <c r="C16" s="272"/>
      <c r="D16" s="272"/>
      <c r="E16" s="272"/>
      <c r="F16" s="272"/>
      <c r="G16" s="272"/>
      <c r="H16" s="272"/>
      <c r="I16" s="272"/>
      <c r="J16" s="143"/>
    </row>
    <row r="17" spans="1:10" x14ac:dyDescent="0.25">
      <c r="A17" s="143"/>
      <c r="B17" s="272"/>
      <c r="C17" s="272"/>
      <c r="D17" s="272"/>
      <c r="E17" s="272"/>
      <c r="F17" s="272"/>
      <c r="G17" s="272"/>
      <c r="H17" s="272"/>
      <c r="I17" s="272"/>
      <c r="J17" s="143"/>
    </row>
    <row r="18" spans="1:10" x14ac:dyDescent="0.25">
      <c r="A18" s="143"/>
      <c r="B18" s="143"/>
      <c r="C18" s="143"/>
      <c r="D18" s="157"/>
      <c r="E18" s="157"/>
      <c r="F18" s="144"/>
      <c r="G18" s="143"/>
      <c r="H18" s="143"/>
      <c r="I18" s="143"/>
      <c r="J18" s="143"/>
    </row>
    <row r="19" spans="1:10" s="158" customFormat="1" x14ac:dyDescent="0.25">
      <c r="E19" s="159"/>
      <c r="F19" s="160"/>
    </row>
    <row r="20" spans="1:10" s="158" customFormat="1" x14ac:dyDescent="0.25">
      <c r="F20" s="160"/>
    </row>
    <row r="21" spans="1:10" s="158" customFormat="1" x14ac:dyDescent="0.25">
      <c r="F21" s="160"/>
    </row>
    <row r="22" spans="1:10" s="158" customFormat="1" x14ac:dyDescent="0.25">
      <c r="F22" s="160"/>
    </row>
    <row r="23" spans="1:10" s="158" customFormat="1" x14ac:dyDescent="0.25">
      <c r="F23" s="160"/>
    </row>
    <row r="24" spans="1:10" s="158" customFormat="1" x14ac:dyDescent="0.25">
      <c r="F24" s="160"/>
    </row>
    <row r="25" spans="1:10" s="158" customFormat="1" x14ac:dyDescent="0.25">
      <c r="F25" s="160"/>
    </row>
    <row r="26" spans="1:10" s="158" customFormat="1" x14ac:dyDescent="0.25">
      <c r="F26" s="160"/>
    </row>
    <row r="27" spans="1:10" s="158" customFormat="1" x14ac:dyDescent="0.25">
      <c r="F27" s="160"/>
    </row>
    <row r="28" spans="1:10" s="158" customFormat="1" x14ac:dyDescent="0.25">
      <c r="F28" s="160"/>
    </row>
    <row r="29" spans="1:10" s="158" customFormat="1" x14ac:dyDescent="0.25">
      <c r="F29" s="160"/>
    </row>
    <row r="30" spans="1:10" s="158" customFormat="1" x14ac:dyDescent="0.25">
      <c r="F30" s="160"/>
    </row>
    <row r="31" spans="1:10" s="158" customFormat="1" x14ac:dyDescent="0.25">
      <c r="F31" s="160"/>
    </row>
    <row r="32" spans="1:10" s="158" customFormat="1" x14ac:dyDescent="0.25">
      <c r="F32" s="160"/>
    </row>
    <row r="33" spans="2:13" s="158" customFormat="1" x14ac:dyDescent="0.25">
      <c r="F33" s="160"/>
    </row>
    <row r="34" spans="2:13" s="158" customFormat="1" x14ac:dyDescent="0.25">
      <c r="F34" s="160"/>
    </row>
    <row r="35" spans="2:13" s="158" customFormat="1" x14ac:dyDescent="0.25">
      <c r="F35" s="160"/>
    </row>
    <row r="36" spans="2:13" s="158" customFormat="1" x14ac:dyDescent="0.25">
      <c r="F36" s="160"/>
    </row>
    <row r="37" spans="2:13" s="158" customFormat="1" x14ac:dyDescent="0.25">
      <c r="F37" s="160"/>
    </row>
    <row r="38" spans="2:13" s="158" customFormat="1" x14ac:dyDescent="0.25">
      <c r="F38" s="160"/>
    </row>
    <row r="39" spans="2:13" s="158" customFormat="1" x14ac:dyDescent="0.25">
      <c r="F39" s="160"/>
    </row>
    <row r="40" spans="2:13" s="158" customFormat="1" x14ac:dyDescent="0.25">
      <c r="F40" s="160"/>
    </row>
    <row r="41" spans="2:13" s="158" customFormat="1" x14ac:dyDescent="0.25">
      <c r="F41" s="160"/>
    </row>
    <row r="42" spans="2:13" s="158" customFormat="1" x14ac:dyDescent="0.25">
      <c r="F42" s="160"/>
    </row>
    <row r="43" spans="2:13" s="158" customFormat="1" x14ac:dyDescent="0.25">
      <c r="F43" s="160"/>
      <c r="M43" s="158" t="s">
        <v>101</v>
      </c>
    </row>
    <row r="44" spans="2:13" s="158" customFormat="1" x14ac:dyDescent="0.25">
      <c r="F44" s="160"/>
      <c r="H44" s="161"/>
      <c r="I44" s="161"/>
      <c r="M44" s="145">
        <f>9.6</f>
        <v>9.6</v>
      </c>
    </row>
    <row r="45" spans="2:13" s="158" customFormat="1" x14ac:dyDescent="0.25">
      <c r="F45" s="160"/>
      <c r="H45" s="161"/>
      <c r="I45" s="161"/>
      <c r="M45" s="145">
        <v>13</v>
      </c>
    </row>
    <row r="46" spans="2:13" s="158" customFormat="1" x14ac:dyDescent="0.25">
      <c r="F46" s="160"/>
      <c r="M46" s="145">
        <v>18</v>
      </c>
    </row>
    <row r="47" spans="2:13" s="158" customFormat="1" x14ac:dyDescent="0.25">
      <c r="F47" s="162"/>
      <c r="G47" s="161"/>
      <c r="M47" s="145">
        <v>24</v>
      </c>
    </row>
    <row r="48" spans="2:13" s="158" customFormat="1" x14ac:dyDescent="0.25">
      <c r="B48" s="163"/>
      <c r="F48" s="160"/>
      <c r="M48" s="145">
        <v>31</v>
      </c>
    </row>
    <row r="49" spans="2:13" s="158" customFormat="1" x14ac:dyDescent="0.25">
      <c r="C49" s="164"/>
      <c r="D49" s="164"/>
      <c r="F49" s="160"/>
      <c r="G49" s="159"/>
      <c r="H49" s="159"/>
      <c r="I49" s="159"/>
      <c r="J49" s="159"/>
      <c r="K49" s="159"/>
      <c r="L49" s="159"/>
      <c r="M49" s="145">
        <v>43</v>
      </c>
    </row>
    <row r="50" spans="2:13" s="158" customFormat="1" x14ac:dyDescent="0.25">
      <c r="F50" s="160"/>
      <c r="M50" s="145">
        <v>59</v>
      </c>
    </row>
    <row r="51" spans="2:13" s="158" customFormat="1" x14ac:dyDescent="0.25">
      <c r="B51" s="161"/>
      <c r="F51" s="160"/>
      <c r="M51" s="145">
        <v>77</v>
      </c>
    </row>
    <row r="52" spans="2:13" s="158" customFormat="1" x14ac:dyDescent="0.25">
      <c r="B52" s="161"/>
      <c r="F52" s="160"/>
      <c r="M52" s="145">
        <v>96</v>
      </c>
    </row>
    <row r="53" spans="2:13" s="158" customFormat="1" x14ac:dyDescent="0.25">
      <c r="C53" s="164"/>
      <c r="D53" s="164"/>
      <c r="F53" s="268"/>
      <c r="G53" s="269"/>
      <c r="M53" s="145">
        <v>116</v>
      </c>
    </row>
    <row r="54" spans="2:13" s="158" customFormat="1" x14ac:dyDescent="0.25">
      <c r="B54" s="161"/>
      <c r="C54" s="165"/>
      <c r="D54" s="165"/>
      <c r="E54" s="165"/>
      <c r="F54" s="268"/>
      <c r="G54" s="269"/>
      <c r="J54" s="161"/>
      <c r="K54" s="161"/>
      <c r="L54" s="161"/>
      <c r="M54" s="145">
        <v>148</v>
      </c>
    </row>
    <row r="55" spans="2:13" s="158" customFormat="1" x14ac:dyDescent="0.25">
      <c r="B55" s="161"/>
      <c r="C55" s="165"/>
      <c r="D55" s="165"/>
      <c r="F55" s="160"/>
      <c r="G55" s="161"/>
      <c r="H55" s="161"/>
      <c r="I55" s="161"/>
      <c r="J55" s="161"/>
      <c r="K55" s="161"/>
      <c r="L55" s="161"/>
      <c r="M55" s="161"/>
    </row>
    <row r="56" spans="2:13" s="158" customFormat="1" x14ac:dyDescent="0.25">
      <c r="B56" s="163"/>
      <c r="F56" s="160"/>
    </row>
    <row r="57" spans="2:13" s="158" customFormat="1" x14ac:dyDescent="0.25">
      <c r="B57" s="163"/>
      <c r="F57" s="160"/>
    </row>
    <row r="58" spans="2:13" s="158" customFormat="1" x14ac:dyDescent="0.25">
      <c r="B58" s="163"/>
      <c r="F58" s="160"/>
    </row>
    <row r="59" spans="2:13" s="158" customFormat="1" x14ac:dyDescent="0.25">
      <c r="F59" s="160"/>
    </row>
    <row r="60" spans="2:13" s="158" customFormat="1" x14ac:dyDescent="0.25">
      <c r="C60" s="159"/>
      <c r="D60" s="159"/>
      <c r="E60" s="161"/>
      <c r="F60" s="160"/>
      <c r="G60" s="166"/>
    </row>
    <row r="61" spans="2:13" s="158" customFormat="1" x14ac:dyDescent="0.25">
      <c r="C61" s="159"/>
      <c r="D61" s="159"/>
      <c r="E61" s="161"/>
      <c r="G61" s="166"/>
    </row>
    <row r="62" spans="2:13" s="158" customFormat="1" x14ac:dyDescent="0.25">
      <c r="C62" s="159"/>
      <c r="D62" s="159"/>
      <c r="E62" s="161"/>
      <c r="F62" s="160"/>
      <c r="G62" s="159"/>
    </row>
    <row r="63" spans="2:13" s="158" customFormat="1" x14ac:dyDescent="0.25">
      <c r="C63" s="159"/>
      <c r="D63" s="159"/>
      <c r="E63" s="161"/>
      <c r="G63" s="159"/>
    </row>
    <row r="64" spans="2:13" s="158" customFormat="1" x14ac:dyDescent="0.25">
      <c r="C64" s="159"/>
      <c r="D64" s="159"/>
      <c r="E64" s="161"/>
      <c r="G64" s="159"/>
    </row>
    <row r="65" spans="3:13" s="158" customFormat="1" x14ac:dyDescent="0.25">
      <c r="C65" s="159"/>
      <c r="D65" s="159"/>
      <c r="E65" s="161"/>
      <c r="F65" s="160"/>
    </row>
    <row r="66" spans="3:13" s="158" customFormat="1" x14ac:dyDescent="0.25">
      <c r="C66" s="159"/>
      <c r="D66" s="159"/>
      <c r="E66" s="161"/>
      <c r="F66" s="160"/>
      <c r="J66" s="161"/>
      <c r="K66" s="161"/>
      <c r="L66" s="161"/>
      <c r="M66" s="161"/>
    </row>
    <row r="67" spans="3:13" s="158" customFormat="1" x14ac:dyDescent="0.25">
      <c r="C67" s="159"/>
      <c r="D67" s="159"/>
      <c r="E67" s="161"/>
      <c r="F67" s="160"/>
    </row>
    <row r="68" spans="3:13" s="158" customFormat="1" x14ac:dyDescent="0.25">
      <c r="C68" s="159"/>
      <c r="D68" s="159"/>
      <c r="E68" s="161"/>
      <c r="F68" s="160"/>
      <c r="H68" s="165"/>
      <c r="I68" s="165"/>
    </row>
    <row r="69" spans="3:13" s="158" customFormat="1" x14ac:dyDescent="0.25">
      <c r="C69" s="159"/>
      <c r="D69" s="159"/>
      <c r="E69" s="161"/>
      <c r="F69" s="160"/>
      <c r="G69" s="167"/>
      <c r="H69" s="165"/>
      <c r="I69" s="165"/>
      <c r="J69" s="161"/>
      <c r="K69" s="161"/>
      <c r="L69" s="161"/>
      <c r="M69" s="161"/>
    </row>
    <row r="70" spans="3:13" s="158" customFormat="1" x14ac:dyDescent="0.25">
      <c r="C70" s="159"/>
      <c r="D70" s="159"/>
      <c r="E70" s="161"/>
      <c r="F70" s="160"/>
    </row>
    <row r="71" spans="3:13" s="158" customFormat="1" x14ac:dyDescent="0.25">
      <c r="C71" s="159"/>
      <c r="D71" s="159"/>
      <c r="E71" s="161"/>
      <c r="F71" s="160"/>
    </row>
    <row r="72" spans="3:13" s="158" customFormat="1" x14ac:dyDescent="0.25">
      <c r="F72" s="160"/>
    </row>
    <row r="73" spans="3:13" s="158" customFormat="1" x14ac:dyDescent="0.25">
      <c r="F73" s="160"/>
    </row>
    <row r="74" spans="3:13" s="158" customFormat="1" ht="14.25" customHeight="1" x14ac:dyDescent="0.25">
      <c r="F74" s="160"/>
    </row>
    <row r="75" spans="3:13" s="158" customFormat="1" x14ac:dyDescent="0.25"/>
    <row r="76" spans="3:13" x14ac:dyDescent="0.25">
      <c r="F76" s="145"/>
    </row>
    <row r="77" spans="3:13" x14ac:dyDescent="0.25">
      <c r="F77" s="145"/>
    </row>
    <row r="78" spans="3:13" x14ac:dyDescent="0.25">
      <c r="F78" s="145"/>
    </row>
    <row r="79" spans="3:13" x14ac:dyDescent="0.25">
      <c r="F79" s="145"/>
    </row>
    <row r="80" spans="3:13" x14ac:dyDescent="0.25">
      <c r="F80" s="145"/>
      <c r="G80" s="168"/>
    </row>
    <row r="122" spans="13:13" x14ac:dyDescent="0.25">
      <c r="M122" s="170"/>
    </row>
    <row r="124" spans="13:13" x14ac:dyDescent="0.25">
      <c r="M124" s="170"/>
    </row>
  </sheetData>
  <sheetProtection algorithmName="SHA-512" hashValue="3tH98u2VSbKKysX8/nbIM1E58EIHnmaWkK/oHmFNVdvNWg/g95CxEqqcVSSDH3LLV+AGHkdJsgiB0xPq9p8WPA==" saltValue="TEcJy3E6n0zAxQHnURKX+A==" spinCount="100000" sheet="1" objects="1" scenarios="1" selectLockedCells="1"/>
  <mergeCells count="10">
    <mergeCell ref="F53:F54"/>
    <mergeCell ref="G53:G54"/>
    <mergeCell ref="B5:C5"/>
    <mergeCell ref="B9:C9"/>
    <mergeCell ref="E2:I3"/>
    <mergeCell ref="D2:D13"/>
    <mergeCell ref="D14:I15"/>
    <mergeCell ref="B16:I17"/>
    <mergeCell ref="B8:C8"/>
    <mergeCell ref="B4:C4"/>
  </mergeCells>
  <conditionalFormatting sqref="G8:G13 I8:I13">
    <cfRule type="expression" dxfId="21" priority="1">
      <formula>$E$8="Working days:"</formula>
    </cfRule>
  </conditionalFormatting>
  <dataValidations count="1">
    <dataValidation type="list" allowBlank="1" showInputMessage="1" showErrorMessage="1" sqref="K6:M6 I6" xr:uid="{E9C58266-EE50-4F97-897A-753A5094C7CF}">
      <formula1>$F$5:$F$103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5BD76746-42BF-4678-9BFA-07B4671D1CBC}">
            <xm:f>NOT(ISERROR(SEARCH($E$8,G8)))</xm:f>
            <xm:f>$E$8</xm:f>
            <x14:dxf>
              <font>
                <color theme="1" tint="0.499984740745262"/>
              </font>
              <fill>
                <patternFill>
                  <bgColor rgb="FFFFC7CE"/>
                </patternFill>
              </fill>
            </x14:dxf>
          </x14:cfRule>
          <xm:sqref>G8:G13 I8:I13</xm:sqref>
        </x14:conditionalFormatting>
      </x14:conditionalFormattings>
    </ext>
    <ext xmlns:x14="http://schemas.microsoft.com/office/spreadsheetml/2009/9/main" uri="{CCE6A557-97BC-4b89-ADB6-D9C93CAAB3DF}">
      <x14:dataValidations xmlns:xm="http://schemas.microsoft.com/office/excel/2006/main" count="9">
        <x14:dataValidation type="list" showInputMessage="1" showErrorMessage="1" xr:uid="{E0EADE18-2376-440F-9BE7-13151065DF6D}">
          <x14:formula1>
            <xm:f>'Values &amp; Tables'!$C$1:$C$3</xm:f>
          </x14:formula1>
          <xm:sqref>F4</xm:sqref>
        </x14:dataValidation>
        <x14:dataValidation type="list" allowBlank="1" showInputMessage="1" showErrorMessage="1" xr:uid="{2F5C46EB-4973-41F7-BA93-CE3349D0347D}">
          <x14:formula1>
            <xm:f>'Values &amp; Tables'!$B$1:$B$7</xm:f>
          </x14:formula1>
          <xm:sqref>C12</xm:sqref>
        </x14:dataValidation>
        <x14:dataValidation type="list" showInputMessage="1" showErrorMessage="1" xr:uid="{37E5F97D-E39F-400F-9623-82400FF8A8C7}">
          <x14:formula1>
            <xm:f>'Values &amp; Tables'!$D$1:$D$102</xm:f>
          </x14:formula1>
          <xm:sqref>F5:F6</xm:sqref>
        </x14:dataValidation>
        <x14:dataValidation type="list" showInputMessage="1" showErrorMessage="1" xr:uid="{9E0D20A8-0943-446F-96FF-40E8E401BFDC}">
          <x14:formula1>
            <xm:f>'Values &amp; Tables'!$B$8:$B$11</xm:f>
          </x14:formula1>
          <xm:sqref>C10</xm:sqref>
        </x14:dataValidation>
        <x14:dataValidation type="list" showInputMessage="1" showErrorMessage="1" xr:uid="{0BC47716-CE3F-4491-B672-B9D7A8B641D0}">
          <x14:formula1>
            <xm:f>'Values &amp; Tables'!$F$2:$F$9</xm:f>
          </x14:formula1>
          <xm:sqref>G10 G8 I8 I10 G12 I12</xm:sqref>
        </x14:dataValidation>
        <x14:dataValidation type="list" showInputMessage="1" showErrorMessage="1" xr:uid="{2FC97BC6-55FB-4518-9F26-6515A1764ED6}">
          <x14:formula1>
            <xm:f>'Values &amp; Tables'!$E$2:$E$51</xm:f>
          </x14:formula1>
          <xm:sqref>I9 G9 G11 I11 G13 I13</xm:sqref>
        </x14:dataValidation>
        <x14:dataValidation type="list" showInputMessage="1" showErrorMessage="1" xr:uid="{C30F5AC5-D38F-426C-A572-E43935DEF486}">
          <x14:formula1>
            <xm:f>'Values &amp; Tables'!$C$8:$C$10</xm:f>
          </x14:formula1>
          <xm:sqref>D20:D21 C6:C7 C14:C15</xm:sqref>
        </x14:dataValidation>
        <x14:dataValidation type="list" showInputMessage="1" showErrorMessage="1" xr:uid="{52240A37-ED24-48EA-B0EB-640DD1AE8885}">
          <x14:formula1>
            <xm:f>'Values &amp; Tables'!$B$1:$B$7</xm:f>
          </x14:formula1>
          <xm:sqref>C11</xm:sqref>
        </x14:dataValidation>
        <x14:dataValidation type="list" showInputMessage="1" showErrorMessage="1" xr:uid="{8966F173-0212-427F-9D83-EB8D70285D43}">
          <x14:formula1>
            <xm:f>'Values &amp; Tables'!$B$12:$B$20</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4"/>
  <sheetViews>
    <sheetView topLeftCell="A27" zoomScale="85" zoomScaleNormal="85" workbookViewId="0">
      <selection activeCell="I35" sqref="I35"/>
    </sheetView>
  </sheetViews>
  <sheetFormatPr defaultRowHeight="15" x14ac:dyDescent="0.25"/>
  <cols>
    <col min="1" max="1" width="2.7109375" style="32" customWidth="1"/>
    <col min="2" max="2" width="42.85546875" customWidth="1"/>
    <col min="3" max="3" width="17.85546875" bestFit="1" customWidth="1"/>
    <col min="4" max="4" width="20.5703125" style="32" customWidth="1"/>
    <col min="5" max="5" width="18" customWidth="1"/>
    <col min="6" max="6" width="23.140625" style="1" bestFit="1" customWidth="1"/>
    <col min="7" max="7" width="24.5703125" customWidth="1"/>
    <col min="8" max="8" width="36.5703125" customWidth="1"/>
    <col min="9" max="9" width="15.85546875" customWidth="1"/>
    <col min="10" max="10" width="15.85546875" style="32" customWidth="1"/>
    <col min="11" max="11" width="4.7109375" customWidth="1"/>
    <col min="12" max="12" width="32.85546875" customWidth="1"/>
    <col min="13" max="13" width="10" customWidth="1"/>
    <col min="14" max="14" width="20.140625" style="32" bestFit="1" customWidth="1"/>
    <col min="15" max="15" width="17.28515625" bestFit="1" customWidth="1"/>
    <col min="16" max="16" width="23.140625" bestFit="1" customWidth="1"/>
    <col min="17" max="17" width="16" bestFit="1" customWidth="1"/>
    <col min="18" max="18" width="25.140625" bestFit="1" customWidth="1"/>
    <col min="19" max="19" width="10.7109375" bestFit="1" customWidth="1"/>
    <col min="20" max="20" width="17.28515625" style="32" customWidth="1"/>
    <col min="21" max="21" width="5.140625" customWidth="1"/>
    <col min="22" max="22" width="32.140625" customWidth="1"/>
    <col min="23" max="23" width="5.85546875" customWidth="1"/>
    <col min="24" max="24" width="20.140625" bestFit="1" customWidth="1"/>
    <col min="25" max="25" width="17.28515625" bestFit="1" customWidth="1"/>
    <col min="26" max="26" width="23.140625" bestFit="1" customWidth="1"/>
    <col min="27" max="27" width="16" bestFit="1" customWidth="1"/>
    <col min="28" max="28" width="25.140625" bestFit="1" customWidth="1"/>
    <col min="29" max="29" width="10.85546875" bestFit="1" customWidth="1"/>
    <col min="30" max="30" width="15.85546875" customWidth="1"/>
    <col min="31" max="31" width="4.5703125" customWidth="1"/>
    <col min="32" max="32" width="2.7109375" customWidth="1"/>
  </cols>
  <sheetData>
    <row r="1" spans="1:32" s="32" customFormat="1" x14ac:dyDescent="0.25">
      <c r="A1" s="60"/>
      <c r="B1" s="60"/>
      <c r="C1" s="60"/>
      <c r="D1" s="60"/>
      <c r="E1" s="60"/>
      <c r="F1" s="62"/>
      <c r="G1" s="60"/>
      <c r="H1" s="60"/>
      <c r="I1" s="60"/>
      <c r="J1" s="60"/>
      <c r="K1" s="5"/>
      <c r="L1" s="60"/>
      <c r="M1" s="60"/>
      <c r="N1" s="60"/>
      <c r="O1" s="60"/>
      <c r="P1" s="60"/>
      <c r="Q1" s="60"/>
      <c r="R1" s="60"/>
      <c r="S1" s="60"/>
      <c r="T1" s="60"/>
      <c r="U1" s="5"/>
      <c r="V1" s="60"/>
      <c r="W1" s="60"/>
      <c r="X1" s="60"/>
      <c r="Y1" s="60"/>
      <c r="Z1" s="60"/>
      <c r="AA1" s="60"/>
      <c r="AB1" s="60"/>
      <c r="AC1" s="60"/>
      <c r="AD1" s="60"/>
      <c r="AE1" s="5"/>
      <c r="AF1" s="60"/>
    </row>
    <row r="2" spans="1:32" ht="15" customHeight="1" x14ac:dyDescent="0.25">
      <c r="A2" s="60"/>
      <c r="B2" s="278" t="s">
        <v>87</v>
      </c>
      <c r="C2" s="120"/>
      <c r="D2" s="120"/>
      <c r="E2" s="120"/>
      <c r="F2" s="120"/>
      <c r="G2" s="120"/>
      <c r="H2" s="120"/>
      <c r="I2" s="120"/>
      <c r="J2" s="120"/>
      <c r="K2" s="5"/>
      <c r="L2" s="281"/>
      <c r="M2" s="281"/>
      <c r="N2" s="281"/>
      <c r="O2" s="281"/>
      <c r="P2" s="281"/>
      <c r="Q2" s="281"/>
      <c r="R2" s="281"/>
      <c r="S2" s="281"/>
      <c r="T2" s="281"/>
      <c r="U2" s="5"/>
      <c r="V2" s="281"/>
      <c r="W2" s="281"/>
      <c r="X2" s="281"/>
      <c r="Y2" s="281"/>
      <c r="Z2" s="281"/>
      <c r="AA2" s="281"/>
      <c r="AB2" s="281"/>
      <c r="AC2" s="281"/>
      <c r="AD2" s="281"/>
      <c r="AE2" s="5"/>
      <c r="AF2" s="60"/>
    </row>
    <row r="3" spans="1:32" ht="15" customHeight="1" x14ac:dyDescent="0.25">
      <c r="A3" s="60"/>
      <c r="B3" s="279"/>
      <c r="C3" s="128"/>
      <c r="D3" s="128"/>
      <c r="E3" s="128"/>
      <c r="F3" s="128"/>
      <c r="G3" s="128"/>
      <c r="H3" s="128"/>
      <c r="I3" s="128"/>
      <c r="J3" s="128"/>
      <c r="K3" s="5"/>
      <c r="L3" s="281"/>
      <c r="M3" s="281"/>
      <c r="N3" s="281"/>
      <c r="O3" s="281"/>
      <c r="P3" s="281"/>
      <c r="Q3" s="281"/>
      <c r="R3" s="281"/>
      <c r="S3" s="281"/>
      <c r="T3" s="281"/>
      <c r="U3" s="5"/>
      <c r="V3" s="281"/>
      <c r="W3" s="281"/>
      <c r="X3" s="281"/>
      <c r="Y3" s="281"/>
      <c r="Z3" s="281"/>
      <c r="AA3" s="281"/>
      <c r="AB3" s="281"/>
      <c r="AC3" s="281"/>
      <c r="AD3" s="281"/>
      <c r="AE3" s="5"/>
      <c r="AF3" s="60"/>
    </row>
    <row r="4" spans="1:32" s="32" customFormat="1" ht="15" customHeight="1" x14ac:dyDescent="0.25">
      <c r="A4" s="60"/>
      <c r="B4" s="280" t="s">
        <v>202</v>
      </c>
      <c r="C4" s="280"/>
      <c r="D4" s="280"/>
      <c r="E4" s="280"/>
      <c r="F4" s="280"/>
      <c r="G4" s="280"/>
      <c r="H4" s="280"/>
      <c r="I4" s="280"/>
      <c r="J4" s="280"/>
      <c r="K4" s="5"/>
      <c r="L4" s="281"/>
      <c r="M4" s="281"/>
      <c r="N4" s="281"/>
      <c r="O4" s="281"/>
      <c r="P4" s="281"/>
      <c r="Q4" s="281"/>
      <c r="R4" s="281"/>
      <c r="S4" s="281"/>
      <c r="T4" s="281"/>
      <c r="U4" s="5"/>
      <c r="V4" s="281"/>
      <c r="W4" s="281"/>
      <c r="X4" s="281"/>
      <c r="Y4" s="281"/>
      <c r="Z4" s="281"/>
      <c r="AA4" s="281"/>
      <c r="AB4" s="281"/>
      <c r="AC4" s="281"/>
      <c r="AD4" s="281"/>
      <c r="AE4" s="5"/>
      <c r="AF4" s="60"/>
    </row>
    <row r="5" spans="1:32" s="32" customFormat="1" ht="15" customHeight="1" x14ac:dyDescent="0.25">
      <c r="A5" s="60"/>
      <c r="B5" s="280"/>
      <c r="C5" s="280"/>
      <c r="D5" s="280"/>
      <c r="E5" s="280"/>
      <c r="F5" s="280"/>
      <c r="G5" s="280"/>
      <c r="H5" s="280"/>
      <c r="I5" s="280"/>
      <c r="J5" s="280"/>
      <c r="K5" s="5"/>
      <c r="L5" s="282"/>
      <c r="M5" s="282"/>
      <c r="N5" s="282"/>
      <c r="O5" s="282"/>
      <c r="P5" s="282"/>
      <c r="Q5" s="282"/>
      <c r="R5" s="282"/>
      <c r="S5" s="282"/>
      <c r="T5" s="282"/>
      <c r="U5" s="5"/>
      <c r="V5" s="282"/>
      <c r="W5" s="282"/>
      <c r="X5" s="282"/>
      <c r="Y5" s="282"/>
      <c r="Z5" s="282"/>
      <c r="AA5" s="282"/>
      <c r="AB5" s="282"/>
      <c r="AC5" s="282"/>
      <c r="AD5" s="282"/>
      <c r="AE5" s="5"/>
      <c r="AF5" s="60"/>
    </row>
    <row r="6" spans="1:32" ht="26.25" x14ac:dyDescent="0.4">
      <c r="A6" s="60"/>
      <c r="B6" s="291" t="s">
        <v>156</v>
      </c>
      <c r="C6" s="292"/>
      <c r="D6" s="292"/>
      <c r="E6" s="292"/>
      <c r="F6" s="292"/>
      <c r="G6" s="292"/>
      <c r="H6" s="292"/>
      <c r="I6" s="293"/>
      <c r="J6" s="290" t="s">
        <v>132</v>
      </c>
      <c r="K6" s="66"/>
      <c r="L6" s="294" t="s">
        <v>8</v>
      </c>
      <c r="M6" s="295"/>
      <c r="N6" s="295"/>
      <c r="O6" s="295"/>
      <c r="P6" s="295"/>
      <c r="Q6" s="295"/>
      <c r="R6" s="296"/>
      <c r="S6" s="70"/>
      <c r="T6" s="286" t="s">
        <v>132</v>
      </c>
      <c r="U6" s="66"/>
      <c r="V6" s="294" t="s">
        <v>98</v>
      </c>
      <c r="W6" s="295"/>
      <c r="X6" s="295"/>
      <c r="Y6" s="295"/>
      <c r="Z6" s="295"/>
      <c r="AA6" s="295"/>
      <c r="AB6" s="295"/>
      <c r="AC6" s="296"/>
      <c r="AD6" s="286" t="s">
        <v>132</v>
      </c>
      <c r="AE6" s="5"/>
      <c r="AF6" s="60"/>
    </row>
    <row r="7" spans="1:32" ht="15" customHeight="1" x14ac:dyDescent="0.25">
      <c r="A7" s="60"/>
      <c r="B7" s="64" t="s">
        <v>0</v>
      </c>
      <c r="C7" s="64" t="s">
        <v>1</v>
      </c>
      <c r="D7" s="64" t="s">
        <v>201</v>
      </c>
      <c r="E7" s="64" t="s">
        <v>88</v>
      </c>
      <c r="F7" s="69" t="s">
        <v>4</v>
      </c>
      <c r="G7" s="64" t="s">
        <v>2</v>
      </c>
      <c r="H7" s="64" t="s">
        <v>3</v>
      </c>
      <c r="I7" s="64" t="s">
        <v>91</v>
      </c>
      <c r="J7" s="286"/>
      <c r="K7" s="66"/>
      <c r="L7" s="64" t="s">
        <v>0</v>
      </c>
      <c r="M7" s="64" t="s">
        <v>1</v>
      </c>
      <c r="N7" s="64" t="s">
        <v>97</v>
      </c>
      <c r="O7" s="64" t="s">
        <v>88</v>
      </c>
      <c r="P7" s="69" t="s">
        <v>4</v>
      </c>
      <c r="Q7" s="64" t="s">
        <v>2</v>
      </c>
      <c r="R7" s="64" t="s">
        <v>3</v>
      </c>
      <c r="S7" s="64" t="s">
        <v>91</v>
      </c>
      <c r="T7" s="286"/>
      <c r="U7" s="66"/>
      <c r="V7" s="64" t="s">
        <v>0</v>
      </c>
      <c r="W7" s="64" t="s">
        <v>1</v>
      </c>
      <c r="X7" s="64" t="s">
        <v>97</v>
      </c>
      <c r="Y7" s="64" t="s">
        <v>88</v>
      </c>
      <c r="Z7" s="69" t="s">
        <v>4</v>
      </c>
      <c r="AA7" s="64" t="s">
        <v>2</v>
      </c>
      <c r="AB7" s="64" t="s">
        <v>3</v>
      </c>
      <c r="AC7" s="64" t="s">
        <v>91</v>
      </c>
      <c r="AD7" s="286"/>
      <c r="AE7" s="5"/>
      <c r="AF7" s="60"/>
    </row>
    <row r="8" spans="1:32" s="22" customFormat="1" ht="15.75" x14ac:dyDescent="0.25">
      <c r="A8" s="60"/>
      <c r="B8" s="173" t="s">
        <v>246</v>
      </c>
      <c r="C8" s="174">
        <v>2</v>
      </c>
      <c r="D8" s="174">
        <v>200</v>
      </c>
      <c r="E8" s="67">
        <f>D8*C8</f>
        <v>400</v>
      </c>
      <c r="F8" s="175">
        <v>1</v>
      </c>
      <c r="G8" s="216">
        <v>12.5</v>
      </c>
      <c r="H8" s="67">
        <f t="shared" ref="H8:H28" si="0">E8*F8*G8</f>
        <v>5000</v>
      </c>
      <c r="I8" s="140" t="s">
        <v>49</v>
      </c>
      <c r="J8" s="140" t="s">
        <v>49</v>
      </c>
      <c r="K8" s="66"/>
      <c r="L8" s="176" t="str">
        <f>B8</f>
        <v>Computer</v>
      </c>
      <c r="M8" s="176">
        <f>C8</f>
        <v>2</v>
      </c>
      <c r="N8" s="176">
        <f>D8</f>
        <v>200</v>
      </c>
      <c r="O8" s="67">
        <f>N8*M8</f>
        <v>400</v>
      </c>
      <c r="P8" s="180">
        <v>1</v>
      </c>
      <c r="Q8" s="217">
        <v>6.5</v>
      </c>
      <c r="R8" s="67">
        <f t="shared" ref="R8:R15" si="1">O8*P8*Q8</f>
        <v>2600</v>
      </c>
      <c r="S8" s="176" t="s">
        <v>49</v>
      </c>
      <c r="T8" s="176" t="s">
        <v>49</v>
      </c>
      <c r="U8" s="68"/>
      <c r="V8" s="176" t="str">
        <f>B8</f>
        <v>Computer</v>
      </c>
      <c r="W8" s="176">
        <f>C8</f>
        <v>2</v>
      </c>
      <c r="X8" s="176">
        <f>D8</f>
        <v>200</v>
      </c>
      <c r="Y8" s="67">
        <f>X8*W8</f>
        <v>400</v>
      </c>
      <c r="Z8" s="180">
        <v>1</v>
      </c>
      <c r="AA8" s="176">
        <v>0</v>
      </c>
      <c r="AB8" s="67">
        <f t="shared" ref="AB8:AB15" si="2">Y8*Z8*AA8</f>
        <v>0</v>
      </c>
      <c r="AC8" s="176" t="s">
        <v>49</v>
      </c>
      <c r="AD8" s="176" t="s">
        <v>49</v>
      </c>
      <c r="AE8" s="5"/>
      <c r="AF8" s="60"/>
    </row>
    <row r="9" spans="1:32" s="22" customFormat="1" ht="15.75" x14ac:dyDescent="0.25">
      <c r="A9" s="60"/>
      <c r="B9" s="173" t="s">
        <v>247</v>
      </c>
      <c r="C9" s="174">
        <v>2</v>
      </c>
      <c r="D9" s="174">
        <v>20</v>
      </c>
      <c r="E9" s="67">
        <f>D9*C9</f>
        <v>40</v>
      </c>
      <c r="F9" s="175">
        <v>1</v>
      </c>
      <c r="G9" s="216">
        <v>12.5</v>
      </c>
      <c r="H9" s="67">
        <f t="shared" si="0"/>
        <v>500</v>
      </c>
      <c r="I9" s="140" t="s">
        <v>49</v>
      </c>
      <c r="J9" s="140" t="s">
        <v>49</v>
      </c>
      <c r="K9" s="66"/>
      <c r="L9" s="176" t="str">
        <f t="shared" ref="L9:L29" si="3">B9</f>
        <v>Printer</v>
      </c>
      <c r="M9" s="176">
        <f t="shared" ref="M9:M29" si="4">C9</f>
        <v>2</v>
      </c>
      <c r="N9" s="176">
        <f t="shared" ref="N9:N33" si="5">D9</f>
        <v>20</v>
      </c>
      <c r="O9" s="67">
        <f>N9*M9</f>
        <v>40</v>
      </c>
      <c r="P9" s="180">
        <v>1</v>
      </c>
      <c r="Q9" s="217">
        <v>6.5</v>
      </c>
      <c r="R9" s="67">
        <f t="shared" si="1"/>
        <v>260</v>
      </c>
      <c r="S9" s="176" t="s">
        <v>49</v>
      </c>
      <c r="T9" s="176" t="s">
        <v>49</v>
      </c>
      <c r="U9" s="68"/>
      <c r="V9" s="176" t="str">
        <f t="shared" ref="V9:V32" si="6">B9</f>
        <v>Printer</v>
      </c>
      <c r="W9" s="176">
        <f t="shared" ref="W9:W33" si="7">C9</f>
        <v>2</v>
      </c>
      <c r="X9" s="176">
        <f t="shared" ref="X9:X33" si="8">D9</f>
        <v>20</v>
      </c>
      <c r="Y9" s="67">
        <f>X9*W9</f>
        <v>40</v>
      </c>
      <c r="Z9" s="180">
        <v>1</v>
      </c>
      <c r="AA9" s="176">
        <v>0</v>
      </c>
      <c r="AB9" s="67">
        <f t="shared" si="2"/>
        <v>0</v>
      </c>
      <c r="AC9" s="176" t="s">
        <v>49</v>
      </c>
      <c r="AD9" s="176" t="s">
        <v>49</v>
      </c>
      <c r="AE9" s="5"/>
      <c r="AF9" s="60"/>
    </row>
    <row r="10" spans="1:32" s="22" customFormat="1" ht="15.75" x14ac:dyDescent="0.25">
      <c r="A10" s="60"/>
      <c r="B10" s="173" t="s">
        <v>248</v>
      </c>
      <c r="C10" s="174">
        <v>1</v>
      </c>
      <c r="D10" s="174">
        <v>40</v>
      </c>
      <c r="E10" s="67">
        <f t="shared" ref="E10:E29" si="9">D10*C10</f>
        <v>40</v>
      </c>
      <c r="F10" s="175">
        <v>1</v>
      </c>
      <c r="G10" s="216">
        <v>6</v>
      </c>
      <c r="H10" s="67">
        <f t="shared" si="0"/>
        <v>240</v>
      </c>
      <c r="I10" s="140" t="s">
        <v>49</v>
      </c>
      <c r="J10" s="140" t="s">
        <v>49</v>
      </c>
      <c r="K10" s="66"/>
      <c r="L10" s="176" t="str">
        <f t="shared" si="3"/>
        <v>Notebook</v>
      </c>
      <c r="M10" s="176">
        <f t="shared" si="4"/>
        <v>1</v>
      </c>
      <c r="N10" s="176">
        <f t="shared" si="5"/>
        <v>40</v>
      </c>
      <c r="O10" s="67">
        <f t="shared" ref="O10:O29" si="10">N10*M10</f>
        <v>40</v>
      </c>
      <c r="P10" s="180">
        <v>1</v>
      </c>
      <c r="Q10" s="217">
        <v>6.5</v>
      </c>
      <c r="R10" s="67">
        <f t="shared" si="1"/>
        <v>260</v>
      </c>
      <c r="S10" s="176" t="s">
        <v>49</v>
      </c>
      <c r="T10" s="176" t="s">
        <v>49</v>
      </c>
      <c r="U10" s="68"/>
      <c r="V10" s="176" t="str">
        <f t="shared" si="6"/>
        <v>Notebook</v>
      </c>
      <c r="W10" s="176">
        <f t="shared" si="7"/>
        <v>1</v>
      </c>
      <c r="X10" s="176">
        <f t="shared" si="8"/>
        <v>40</v>
      </c>
      <c r="Y10" s="67">
        <f t="shared" ref="Y10:Y29" si="11">X10*W10</f>
        <v>40</v>
      </c>
      <c r="Z10" s="180">
        <v>1</v>
      </c>
      <c r="AA10" s="176">
        <v>0</v>
      </c>
      <c r="AB10" s="67">
        <f t="shared" si="2"/>
        <v>0</v>
      </c>
      <c r="AC10" s="176" t="s">
        <v>49</v>
      </c>
      <c r="AD10" s="176" t="s">
        <v>49</v>
      </c>
      <c r="AE10" s="5"/>
      <c r="AF10" s="60"/>
    </row>
    <row r="11" spans="1:32" s="22" customFormat="1" ht="15.75" x14ac:dyDescent="0.25">
      <c r="A11" s="60"/>
      <c r="B11" s="173" t="s">
        <v>249</v>
      </c>
      <c r="C11" s="174">
        <v>1</v>
      </c>
      <c r="D11" s="174">
        <v>10</v>
      </c>
      <c r="E11" s="67">
        <f t="shared" si="9"/>
        <v>10</v>
      </c>
      <c r="F11" s="175">
        <v>1</v>
      </c>
      <c r="G11" s="216">
        <v>12.5</v>
      </c>
      <c r="H11" s="67">
        <f t="shared" si="0"/>
        <v>125</v>
      </c>
      <c r="I11" s="140" t="s">
        <v>49</v>
      </c>
      <c r="J11" s="140" t="s">
        <v>49</v>
      </c>
      <c r="K11" s="66"/>
      <c r="L11" s="176" t="str">
        <f t="shared" si="3"/>
        <v>Posnet</v>
      </c>
      <c r="M11" s="176">
        <f t="shared" si="4"/>
        <v>1</v>
      </c>
      <c r="N11" s="176">
        <f t="shared" si="5"/>
        <v>10</v>
      </c>
      <c r="O11" s="67">
        <f t="shared" si="10"/>
        <v>10</v>
      </c>
      <c r="P11" s="180">
        <v>1</v>
      </c>
      <c r="Q11" s="217">
        <v>6.5</v>
      </c>
      <c r="R11" s="67">
        <f t="shared" si="1"/>
        <v>65</v>
      </c>
      <c r="S11" s="176" t="s">
        <v>49</v>
      </c>
      <c r="T11" s="176" t="s">
        <v>49</v>
      </c>
      <c r="U11" s="68"/>
      <c r="V11" s="176" t="str">
        <f t="shared" si="6"/>
        <v>Posnet</v>
      </c>
      <c r="W11" s="176">
        <f t="shared" si="7"/>
        <v>1</v>
      </c>
      <c r="X11" s="176">
        <f t="shared" si="8"/>
        <v>10</v>
      </c>
      <c r="Y11" s="67">
        <f t="shared" si="11"/>
        <v>10</v>
      </c>
      <c r="Z11" s="180">
        <v>1</v>
      </c>
      <c r="AA11" s="176">
        <v>0</v>
      </c>
      <c r="AB11" s="67">
        <f t="shared" si="2"/>
        <v>0</v>
      </c>
      <c r="AC11" s="176" t="s">
        <v>49</v>
      </c>
      <c r="AD11" s="176" t="s">
        <v>49</v>
      </c>
      <c r="AE11" s="5"/>
      <c r="AF11" s="60"/>
    </row>
    <row r="12" spans="1:32" s="22" customFormat="1" ht="15.75" x14ac:dyDescent="0.25">
      <c r="A12" s="60"/>
      <c r="B12" s="173" t="s">
        <v>250</v>
      </c>
      <c r="C12" s="174">
        <v>1</v>
      </c>
      <c r="D12" s="174">
        <v>30</v>
      </c>
      <c r="E12" s="67">
        <f t="shared" si="9"/>
        <v>30</v>
      </c>
      <c r="F12" s="175">
        <v>1</v>
      </c>
      <c r="G12" s="216">
        <v>12.5</v>
      </c>
      <c r="H12" s="67">
        <f t="shared" si="0"/>
        <v>375</v>
      </c>
      <c r="I12" s="140" t="s">
        <v>49</v>
      </c>
      <c r="J12" s="140" t="s">
        <v>49</v>
      </c>
      <c r="K12" s="66"/>
      <c r="L12" s="176" t="str">
        <f t="shared" si="3"/>
        <v>Modem</v>
      </c>
      <c r="M12" s="176">
        <f t="shared" si="4"/>
        <v>1</v>
      </c>
      <c r="N12" s="176">
        <f t="shared" si="5"/>
        <v>30</v>
      </c>
      <c r="O12" s="67">
        <f t="shared" si="10"/>
        <v>30</v>
      </c>
      <c r="P12" s="180">
        <v>1</v>
      </c>
      <c r="Q12" s="217">
        <v>6.5</v>
      </c>
      <c r="R12" s="67">
        <f t="shared" si="1"/>
        <v>195</v>
      </c>
      <c r="S12" s="176" t="s">
        <v>49</v>
      </c>
      <c r="T12" s="176" t="s">
        <v>49</v>
      </c>
      <c r="U12" s="68"/>
      <c r="V12" s="176" t="str">
        <f t="shared" si="6"/>
        <v>Modem</v>
      </c>
      <c r="W12" s="176">
        <f t="shared" si="7"/>
        <v>1</v>
      </c>
      <c r="X12" s="176">
        <f t="shared" si="8"/>
        <v>30</v>
      </c>
      <c r="Y12" s="67">
        <f t="shared" si="11"/>
        <v>30</v>
      </c>
      <c r="Z12" s="180">
        <v>1</v>
      </c>
      <c r="AA12" s="176">
        <v>0</v>
      </c>
      <c r="AB12" s="67">
        <f t="shared" si="2"/>
        <v>0</v>
      </c>
      <c r="AC12" s="176" t="s">
        <v>49</v>
      </c>
      <c r="AD12" s="176" t="s">
        <v>49</v>
      </c>
      <c r="AE12" s="5"/>
      <c r="AF12" s="60"/>
    </row>
    <row r="13" spans="1:32" s="22" customFormat="1" ht="15.75" x14ac:dyDescent="0.25">
      <c r="A13" s="60"/>
      <c r="B13" s="173" t="s">
        <v>251</v>
      </c>
      <c r="C13" s="174">
        <v>4</v>
      </c>
      <c r="D13" s="174">
        <v>18</v>
      </c>
      <c r="E13" s="67">
        <f t="shared" si="9"/>
        <v>72</v>
      </c>
      <c r="F13" s="175">
        <v>1</v>
      </c>
      <c r="G13" s="216">
        <v>12.5</v>
      </c>
      <c r="H13" s="67">
        <f t="shared" si="0"/>
        <v>900</v>
      </c>
      <c r="I13" s="140" t="s">
        <v>49</v>
      </c>
      <c r="J13" s="140" t="s">
        <v>49</v>
      </c>
      <c r="K13" s="66"/>
      <c r="L13" s="176" t="str">
        <f t="shared" si="3"/>
        <v>Lightning (General) (Replaced by LED)</v>
      </c>
      <c r="M13" s="176">
        <f t="shared" si="4"/>
        <v>4</v>
      </c>
      <c r="N13" s="176">
        <f t="shared" si="5"/>
        <v>18</v>
      </c>
      <c r="O13" s="67">
        <f t="shared" si="10"/>
        <v>72</v>
      </c>
      <c r="P13" s="180">
        <v>1</v>
      </c>
      <c r="Q13" s="217">
        <v>6.5</v>
      </c>
      <c r="R13" s="67">
        <f t="shared" si="1"/>
        <v>468</v>
      </c>
      <c r="S13" s="176" t="s">
        <v>49</v>
      </c>
      <c r="T13" s="176" t="s">
        <v>49</v>
      </c>
      <c r="U13" s="68"/>
      <c r="V13" s="176" t="str">
        <f t="shared" si="6"/>
        <v>Lightning (General) (Replaced by LED)</v>
      </c>
      <c r="W13" s="176">
        <f t="shared" si="7"/>
        <v>4</v>
      </c>
      <c r="X13" s="176">
        <f t="shared" si="8"/>
        <v>18</v>
      </c>
      <c r="Y13" s="67">
        <f t="shared" si="11"/>
        <v>72</v>
      </c>
      <c r="Z13" s="180">
        <v>1</v>
      </c>
      <c r="AA13" s="176">
        <v>0</v>
      </c>
      <c r="AB13" s="67">
        <f t="shared" si="2"/>
        <v>0</v>
      </c>
      <c r="AC13" s="176" t="s">
        <v>49</v>
      </c>
      <c r="AD13" s="176" t="s">
        <v>49</v>
      </c>
      <c r="AE13" s="5"/>
      <c r="AF13" s="60"/>
    </row>
    <row r="14" spans="1:32" s="22" customFormat="1" ht="15.75" x14ac:dyDescent="0.25">
      <c r="A14" s="60"/>
      <c r="B14" s="173" t="s">
        <v>252</v>
      </c>
      <c r="C14" s="174">
        <v>1</v>
      </c>
      <c r="D14" s="174">
        <v>9</v>
      </c>
      <c r="E14" s="67">
        <f t="shared" si="9"/>
        <v>9</v>
      </c>
      <c r="F14" s="175">
        <v>1</v>
      </c>
      <c r="G14" s="216">
        <v>12.5</v>
      </c>
      <c r="H14" s="67">
        <f t="shared" si="0"/>
        <v>112.5</v>
      </c>
      <c r="I14" s="140" t="s">
        <v>49</v>
      </c>
      <c r="J14" s="140" t="s">
        <v>49</v>
      </c>
      <c r="K14" s="66"/>
      <c r="L14" s="176" t="str">
        <f t="shared" si="3"/>
        <v>Lightning (Small room) (replaced by LED)</v>
      </c>
      <c r="M14" s="176">
        <f t="shared" si="4"/>
        <v>1</v>
      </c>
      <c r="N14" s="176">
        <f t="shared" si="5"/>
        <v>9</v>
      </c>
      <c r="O14" s="67">
        <f t="shared" si="10"/>
        <v>9</v>
      </c>
      <c r="P14" s="180">
        <v>1</v>
      </c>
      <c r="Q14" s="217">
        <v>6.5</v>
      </c>
      <c r="R14" s="67">
        <f t="shared" si="1"/>
        <v>58.5</v>
      </c>
      <c r="S14" s="176" t="s">
        <v>49</v>
      </c>
      <c r="T14" s="176" t="s">
        <v>49</v>
      </c>
      <c r="U14" s="68"/>
      <c r="V14" s="176" t="str">
        <f t="shared" si="6"/>
        <v>Lightning (Small room) (replaced by LED)</v>
      </c>
      <c r="W14" s="176">
        <f t="shared" si="7"/>
        <v>1</v>
      </c>
      <c r="X14" s="176">
        <f t="shared" si="8"/>
        <v>9</v>
      </c>
      <c r="Y14" s="67">
        <f t="shared" si="11"/>
        <v>9</v>
      </c>
      <c r="Z14" s="180">
        <v>1</v>
      </c>
      <c r="AA14" s="176">
        <v>0</v>
      </c>
      <c r="AB14" s="67">
        <f t="shared" si="2"/>
        <v>0</v>
      </c>
      <c r="AC14" s="176" t="s">
        <v>49</v>
      </c>
      <c r="AD14" s="176" t="s">
        <v>49</v>
      </c>
      <c r="AE14" s="5"/>
      <c r="AF14" s="60"/>
    </row>
    <row r="15" spans="1:32" s="22" customFormat="1" ht="15.75" x14ac:dyDescent="0.25">
      <c r="A15" s="60"/>
      <c r="B15" s="173" t="s">
        <v>253</v>
      </c>
      <c r="C15" s="174">
        <v>1</v>
      </c>
      <c r="D15" s="174">
        <v>9</v>
      </c>
      <c r="E15" s="67">
        <f t="shared" si="9"/>
        <v>9</v>
      </c>
      <c r="F15" s="175">
        <v>0.15</v>
      </c>
      <c r="G15" s="216">
        <v>12.5</v>
      </c>
      <c r="H15" s="67">
        <f t="shared" si="0"/>
        <v>16.875</v>
      </c>
      <c r="I15" s="140" t="s">
        <v>49</v>
      </c>
      <c r="J15" s="140" t="s">
        <v>49</v>
      </c>
      <c r="K15" s="66"/>
      <c r="L15" s="176" t="str">
        <f t="shared" si="3"/>
        <v>Lightning (Bathroom) (replaced by LED)</v>
      </c>
      <c r="M15" s="176">
        <f t="shared" si="4"/>
        <v>1</v>
      </c>
      <c r="N15" s="176">
        <f t="shared" si="5"/>
        <v>9</v>
      </c>
      <c r="O15" s="67">
        <f t="shared" si="10"/>
        <v>9</v>
      </c>
      <c r="P15" s="180">
        <v>0.15</v>
      </c>
      <c r="Q15" s="217">
        <v>6.5</v>
      </c>
      <c r="R15" s="67">
        <f t="shared" si="1"/>
        <v>8.7749999999999986</v>
      </c>
      <c r="S15" s="176" t="s">
        <v>49</v>
      </c>
      <c r="T15" s="176" t="s">
        <v>49</v>
      </c>
      <c r="U15" s="68"/>
      <c r="V15" s="176" t="str">
        <f t="shared" si="6"/>
        <v>Lightning (Bathroom) (replaced by LED)</v>
      </c>
      <c r="W15" s="176">
        <f t="shared" si="7"/>
        <v>1</v>
      </c>
      <c r="X15" s="176">
        <f t="shared" si="8"/>
        <v>9</v>
      </c>
      <c r="Y15" s="67">
        <f t="shared" si="11"/>
        <v>9</v>
      </c>
      <c r="Z15" s="180">
        <v>0.15</v>
      </c>
      <c r="AA15" s="176">
        <v>0</v>
      </c>
      <c r="AB15" s="67">
        <f t="shared" si="2"/>
        <v>0</v>
      </c>
      <c r="AC15" s="176" t="s">
        <v>49</v>
      </c>
      <c r="AD15" s="176" t="s">
        <v>49</v>
      </c>
      <c r="AE15" s="5"/>
      <c r="AF15" s="60"/>
    </row>
    <row r="16" spans="1:32" s="22" customFormat="1" ht="15.75" x14ac:dyDescent="0.25">
      <c r="A16" s="60"/>
      <c r="B16" s="173" t="s">
        <v>254</v>
      </c>
      <c r="C16" s="174">
        <v>1</v>
      </c>
      <c r="D16" s="174">
        <v>120</v>
      </c>
      <c r="E16" s="67">
        <f t="shared" si="9"/>
        <v>120</v>
      </c>
      <c r="F16" s="175">
        <v>0.4</v>
      </c>
      <c r="G16" s="216">
        <v>12.5</v>
      </c>
      <c r="H16" s="67">
        <f>E16*F16*G16</f>
        <v>600</v>
      </c>
      <c r="I16" s="140" t="s">
        <v>49</v>
      </c>
      <c r="J16" s="140" t="s">
        <v>49</v>
      </c>
      <c r="K16" s="66"/>
      <c r="L16" s="176" t="str">
        <f t="shared" si="3"/>
        <v>Fridge (Work hours)</v>
      </c>
      <c r="M16" s="176">
        <f t="shared" si="4"/>
        <v>1</v>
      </c>
      <c r="N16" s="176">
        <f t="shared" si="5"/>
        <v>120</v>
      </c>
      <c r="O16" s="67">
        <f t="shared" si="10"/>
        <v>120</v>
      </c>
      <c r="P16" s="180">
        <v>0.5</v>
      </c>
      <c r="Q16" s="217">
        <v>6.5</v>
      </c>
      <c r="R16" s="67">
        <f>O16*P16*Q16</f>
        <v>390</v>
      </c>
      <c r="S16" s="176" t="s">
        <v>49</v>
      </c>
      <c r="T16" s="176" t="s">
        <v>49</v>
      </c>
      <c r="U16" s="68"/>
      <c r="V16" s="176" t="str">
        <f t="shared" si="6"/>
        <v>Fridge (Work hours)</v>
      </c>
      <c r="W16" s="176">
        <f t="shared" si="7"/>
        <v>1</v>
      </c>
      <c r="X16" s="176">
        <f t="shared" si="8"/>
        <v>120</v>
      </c>
      <c r="Y16" s="67">
        <f t="shared" si="11"/>
        <v>120</v>
      </c>
      <c r="Z16" s="180">
        <v>0.5</v>
      </c>
      <c r="AA16" s="176">
        <v>0</v>
      </c>
      <c r="AB16" s="67">
        <f>Y16*Z16*AA16</f>
        <v>0</v>
      </c>
      <c r="AC16" s="176" t="s">
        <v>49</v>
      </c>
      <c r="AD16" s="176" t="s">
        <v>49</v>
      </c>
      <c r="AE16" s="5"/>
      <c r="AF16" s="60"/>
    </row>
    <row r="17" spans="1:32" s="22" customFormat="1" ht="15.75" x14ac:dyDescent="0.25">
      <c r="A17" s="60"/>
      <c r="B17" s="173" t="s">
        <v>255</v>
      </c>
      <c r="C17" s="174">
        <v>1</v>
      </c>
      <c r="D17" s="174">
        <v>120</v>
      </c>
      <c r="E17" s="67">
        <f t="shared" si="9"/>
        <v>120</v>
      </c>
      <c r="F17" s="175">
        <v>0.2</v>
      </c>
      <c r="G17" s="216">
        <v>11.5</v>
      </c>
      <c r="H17" s="67">
        <f>E17*F17*G17</f>
        <v>276</v>
      </c>
      <c r="I17" s="140" t="s">
        <v>49</v>
      </c>
      <c r="J17" s="140" t="s">
        <v>62</v>
      </c>
      <c r="K17" s="66"/>
      <c r="L17" s="176" t="str">
        <f t="shared" si="3"/>
        <v>Fridge (Rest hours)</v>
      </c>
      <c r="M17" s="176">
        <f t="shared" si="4"/>
        <v>1</v>
      </c>
      <c r="N17" s="176">
        <f t="shared" si="5"/>
        <v>120</v>
      </c>
      <c r="O17" s="67">
        <f t="shared" si="10"/>
        <v>120</v>
      </c>
      <c r="P17" s="180">
        <v>0.2</v>
      </c>
      <c r="Q17" s="217">
        <v>17.5</v>
      </c>
      <c r="R17" s="67">
        <f>O17*P17*Q17</f>
        <v>420</v>
      </c>
      <c r="S17" s="176" t="s">
        <v>49</v>
      </c>
      <c r="T17" s="176" t="s">
        <v>62</v>
      </c>
      <c r="U17" s="68"/>
      <c r="V17" s="176" t="str">
        <f t="shared" si="6"/>
        <v>Fridge (Rest hours)</v>
      </c>
      <c r="W17" s="176">
        <f t="shared" si="7"/>
        <v>1</v>
      </c>
      <c r="X17" s="176">
        <f t="shared" si="8"/>
        <v>120</v>
      </c>
      <c r="Y17" s="67">
        <f t="shared" si="11"/>
        <v>120</v>
      </c>
      <c r="Z17" s="180">
        <v>0.2</v>
      </c>
      <c r="AA17" s="176">
        <v>24</v>
      </c>
      <c r="AB17" s="67">
        <f>Y17*Z17*AA17</f>
        <v>576</v>
      </c>
      <c r="AC17" s="176" t="s">
        <v>49</v>
      </c>
      <c r="AD17" s="176" t="s">
        <v>62</v>
      </c>
      <c r="AE17" s="5"/>
      <c r="AF17" s="60"/>
    </row>
    <row r="18" spans="1:32" s="22" customFormat="1" ht="15.75" x14ac:dyDescent="0.25">
      <c r="A18" s="60"/>
      <c r="B18" s="173" t="s">
        <v>256</v>
      </c>
      <c r="C18" s="174">
        <v>1</v>
      </c>
      <c r="D18" s="174">
        <v>400</v>
      </c>
      <c r="E18" s="67">
        <f t="shared" si="9"/>
        <v>400</v>
      </c>
      <c r="F18" s="175">
        <v>1</v>
      </c>
      <c r="G18" s="216">
        <v>8.3333333333333329E-2</v>
      </c>
      <c r="H18" s="67">
        <f>E18*F18*G18</f>
        <v>33.333333333333329</v>
      </c>
      <c r="I18" s="140" t="s">
        <v>49</v>
      </c>
      <c r="J18" s="140" t="s">
        <v>49</v>
      </c>
      <c r="K18" s="66"/>
      <c r="L18" s="176" t="str">
        <f t="shared" si="3"/>
        <v>Security blind #1</v>
      </c>
      <c r="M18" s="176">
        <f t="shared" si="4"/>
        <v>1</v>
      </c>
      <c r="N18" s="176">
        <f t="shared" si="5"/>
        <v>400</v>
      </c>
      <c r="O18" s="67">
        <f t="shared" si="10"/>
        <v>400</v>
      </c>
      <c r="P18" s="180">
        <v>1</v>
      </c>
      <c r="Q18" s="217">
        <v>0.05</v>
      </c>
      <c r="R18" s="67">
        <f>O18*P18*Q18</f>
        <v>20</v>
      </c>
      <c r="S18" s="176" t="s">
        <v>49</v>
      </c>
      <c r="T18" s="176" t="s">
        <v>49</v>
      </c>
      <c r="U18" s="68"/>
      <c r="V18" s="176" t="str">
        <f t="shared" si="6"/>
        <v>Security blind #1</v>
      </c>
      <c r="W18" s="176">
        <f t="shared" si="7"/>
        <v>1</v>
      </c>
      <c r="X18" s="176">
        <f t="shared" si="8"/>
        <v>400</v>
      </c>
      <c r="Y18" s="67">
        <f t="shared" si="11"/>
        <v>400</v>
      </c>
      <c r="Z18" s="180">
        <v>1</v>
      </c>
      <c r="AA18" s="176">
        <v>0</v>
      </c>
      <c r="AB18" s="67">
        <f>Y18*Z18*AA18</f>
        <v>0</v>
      </c>
      <c r="AC18" s="176" t="s">
        <v>49</v>
      </c>
      <c r="AD18" s="176" t="s">
        <v>49</v>
      </c>
      <c r="AE18" s="5"/>
      <c r="AF18" s="60"/>
    </row>
    <row r="19" spans="1:32" s="22" customFormat="1" ht="15.75" x14ac:dyDescent="0.25">
      <c r="A19" s="60"/>
      <c r="B19" s="173" t="s">
        <v>257</v>
      </c>
      <c r="C19" s="174">
        <v>1</v>
      </c>
      <c r="D19" s="174">
        <v>400</v>
      </c>
      <c r="E19" s="67">
        <f t="shared" si="9"/>
        <v>400</v>
      </c>
      <c r="F19" s="175">
        <v>1</v>
      </c>
      <c r="G19" s="216">
        <v>8.3333333333333329E-2</v>
      </c>
      <c r="H19" s="67">
        <f>E19*F19*G19</f>
        <v>33.333333333333329</v>
      </c>
      <c r="I19" s="140" t="s">
        <v>49</v>
      </c>
      <c r="J19" s="140" t="s">
        <v>62</v>
      </c>
      <c r="K19" s="66"/>
      <c r="L19" s="176" t="str">
        <f t="shared" si="3"/>
        <v>Security blind #2</v>
      </c>
      <c r="M19" s="176">
        <f t="shared" si="4"/>
        <v>1</v>
      </c>
      <c r="N19" s="176">
        <f t="shared" si="5"/>
        <v>400</v>
      </c>
      <c r="O19" s="67">
        <f t="shared" si="10"/>
        <v>400</v>
      </c>
      <c r="P19" s="180">
        <v>1</v>
      </c>
      <c r="Q19" s="217">
        <v>0.05</v>
      </c>
      <c r="R19" s="67">
        <f>O19*P19*Q19</f>
        <v>20</v>
      </c>
      <c r="S19" s="176" t="s">
        <v>49</v>
      </c>
      <c r="T19" s="176" t="s">
        <v>62</v>
      </c>
      <c r="U19" s="68"/>
      <c r="V19" s="176" t="str">
        <f t="shared" si="6"/>
        <v>Security blind #2</v>
      </c>
      <c r="W19" s="176">
        <f t="shared" si="7"/>
        <v>1</v>
      </c>
      <c r="X19" s="176">
        <f t="shared" si="8"/>
        <v>400</v>
      </c>
      <c r="Y19" s="67">
        <f t="shared" si="11"/>
        <v>400</v>
      </c>
      <c r="Z19" s="180">
        <v>1</v>
      </c>
      <c r="AA19" s="176">
        <v>0</v>
      </c>
      <c r="AB19" s="67">
        <f>Y19*Z19*AA19</f>
        <v>0</v>
      </c>
      <c r="AC19" s="176" t="s">
        <v>49</v>
      </c>
      <c r="AD19" s="176" t="s">
        <v>62</v>
      </c>
      <c r="AE19" s="5"/>
      <c r="AF19" s="60"/>
    </row>
    <row r="20" spans="1:32" s="22" customFormat="1" ht="15.75" x14ac:dyDescent="0.25">
      <c r="A20" s="60"/>
      <c r="B20" s="173" t="s">
        <v>258</v>
      </c>
      <c r="C20" s="174">
        <v>1</v>
      </c>
      <c r="D20" s="174">
        <v>400</v>
      </c>
      <c r="E20" s="67">
        <f t="shared" si="9"/>
        <v>400</v>
      </c>
      <c r="F20" s="175">
        <v>1</v>
      </c>
      <c r="G20" s="216">
        <v>8.3333333333333329E-2</v>
      </c>
      <c r="H20" s="67">
        <f t="shared" si="0"/>
        <v>33.333333333333329</v>
      </c>
      <c r="I20" s="140" t="s">
        <v>49</v>
      </c>
      <c r="J20" s="140" t="s">
        <v>62</v>
      </c>
      <c r="K20" s="66"/>
      <c r="L20" s="176" t="str">
        <f t="shared" si="3"/>
        <v>Security blind #3</v>
      </c>
      <c r="M20" s="176">
        <f t="shared" si="4"/>
        <v>1</v>
      </c>
      <c r="N20" s="176">
        <f t="shared" si="5"/>
        <v>400</v>
      </c>
      <c r="O20" s="67">
        <f t="shared" si="10"/>
        <v>400</v>
      </c>
      <c r="P20" s="180">
        <v>1</v>
      </c>
      <c r="Q20" s="217">
        <v>0.05</v>
      </c>
      <c r="R20" s="67">
        <f t="shared" ref="R20:R24" si="12">O20*P20*Q20</f>
        <v>20</v>
      </c>
      <c r="S20" s="176" t="s">
        <v>49</v>
      </c>
      <c r="T20" s="176" t="s">
        <v>62</v>
      </c>
      <c r="U20" s="68"/>
      <c r="V20" s="176" t="str">
        <f t="shared" si="6"/>
        <v>Security blind #3</v>
      </c>
      <c r="W20" s="176">
        <f t="shared" si="7"/>
        <v>1</v>
      </c>
      <c r="X20" s="176">
        <f t="shared" si="8"/>
        <v>400</v>
      </c>
      <c r="Y20" s="67">
        <f t="shared" si="11"/>
        <v>400</v>
      </c>
      <c r="Z20" s="180">
        <v>1</v>
      </c>
      <c r="AA20" s="176">
        <v>0</v>
      </c>
      <c r="AB20" s="67">
        <f t="shared" ref="AB20:AB28" si="13">Y20*Z20*AA20</f>
        <v>0</v>
      </c>
      <c r="AC20" s="176" t="s">
        <v>49</v>
      </c>
      <c r="AD20" s="176" t="s">
        <v>62</v>
      </c>
      <c r="AE20" s="5"/>
      <c r="AF20" s="60"/>
    </row>
    <row r="21" spans="1:32" s="22" customFormat="1" ht="15.75" x14ac:dyDescent="0.25">
      <c r="A21" s="60"/>
      <c r="B21" s="173" t="s">
        <v>259</v>
      </c>
      <c r="C21" s="174">
        <v>1</v>
      </c>
      <c r="D21" s="174">
        <v>10</v>
      </c>
      <c r="E21" s="67">
        <f t="shared" si="9"/>
        <v>10</v>
      </c>
      <c r="F21" s="175">
        <v>1</v>
      </c>
      <c r="G21" s="216">
        <v>11.5</v>
      </c>
      <c r="H21" s="67">
        <f t="shared" si="0"/>
        <v>115</v>
      </c>
      <c r="I21" s="140" t="s">
        <v>49</v>
      </c>
      <c r="J21" s="140" t="s">
        <v>62</v>
      </c>
      <c r="K21" s="66"/>
      <c r="L21" s="176" t="str">
        <f t="shared" si="3"/>
        <v>Alarm system</v>
      </c>
      <c r="M21" s="176">
        <f t="shared" si="4"/>
        <v>1</v>
      </c>
      <c r="N21" s="176">
        <f t="shared" si="5"/>
        <v>10</v>
      </c>
      <c r="O21" s="67">
        <f t="shared" si="10"/>
        <v>10</v>
      </c>
      <c r="P21" s="180">
        <v>1</v>
      </c>
      <c r="Q21" s="217">
        <v>17.5</v>
      </c>
      <c r="R21" s="67">
        <f t="shared" si="12"/>
        <v>175</v>
      </c>
      <c r="S21" s="176" t="s">
        <v>49</v>
      </c>
      <c r="T21" s="176" t="s">
        <v>62</v>
      </c>
      <c r="U21" s="68"/>
      <c r="V21" s="176" t="str">
        <f t="shared" si="6"/>
        <v>Alarm system</v>
      </c>
      <c r="W21" s="176">
        <f t="shared" si="7"/>
        <v>1</v>
      </c>
      <c r="X21" s="176">
        <f t="shared" si="8"/>
        <v>10</v>
      </c>
      <c r="Y21" s="67">
        <f t="shared" si="11"/>
        <v>10</v>
      </c>
      <c r="Z21" s="180">
        <v>1</v>
      </c>
      <c r="AA21" s="176">
        <v>24</v>
      </c>
      <c r="AB21" s="67">
        <f t="shared" si="13"/>
        <v>240</v>
      </c>
      <c r="AC21" s="176" t="s">
        <v>49</v>
      </c>
      <c r="AD21" s="176" t="s">
        <v>62</v>
      </c>
      <c r="AE21" s="5"/>
      <c r="AF21" s="60"/>
    </row>
    <row r="22" spans="1:32" s="22" customFormat="1" ht="15.75" x14ac:dyDescent="0.25">
      <c r="A22" s="60"/>
      <c r="B22" s="173" t="s">
        <v>260</v>
      </c>
      <c r="C22" s="174">
        <v>1</v>
      </c>
      <c r="D22" s="174">
        <v>10</v>
      </c>
      <c r="E22" s="67">
        <f t="shared" si="9"/>
        <v>10</v>
      </c>
      <c r="F22" s="175">
        <v>1</v>
      </c>
      <c r="G22" s="216">
        <v>12.5</v>
      </c>
      <c r="H22" s="67">
        <f t="shared" si="0"/>
        <v>125</v>
      </c>
      <c r="I22" s="140" t="s">
        <v>49</v>
      </c>
      <c r="J22" s="140" t="s">
        <v>49</v>
      </c>
      <c r="K22" s="66"/>
      <c r="L22" s="176" t="str">
        <f t="shared" si="3"/>
        <v>Register machine</v>
      </c>
      <c r="M22" s="176">
        <f t="shared" si="4"/>
        <v>1</v>
      </c>
      <c r="N22" s="176">
        <f t="shared" si="5"/>
        <v>10</v>
      </c>
      <c r="O22" s="67">
        <f t="shared" si="10"/>
        <v>10</v>
      </c>
      <c r="P22" s="180">
        <v>1</v>
      </c>
      <c r="Q22" s="217">
        <v>6.5</v>
      </c>
      <c r="R22" s="67">
        <f t="shared" si="12"/>
        <v>65</v>
      </c>
      <c r="S22" s="176" t="s">
        <v>49</v>
      </c>
      <c r="T22" s="176" t="s">
        <v>49</v>
      </c>
      <c r="U22" s="68"/>
      <c r="V22" s="176" t="str">
        <f t="shared" si="6"/>
        <v>Register machine</v>
      </c>
      <c r="W22" s="176">
        <f t="shared" si="7"/>
        <v>1</v>
      </c>
      <c r="X22" s="176">
        <f t="shared" si="8"/>
        <v>10</v>
      </c>
      <c r="Y22" s="67">
        <f t="shared" si="11"/>
        <v>10</v>
      </c>
      <c r="Z22" s="180">
        <v>1</v>
      </c>
      <c r="AA22" s="176">
        <v>0</v>
      </c>
      <c r="AB22" s="67">
        <f t="shared" si="13"/>
        <v>0</v>
      </c>
      <c r="AC22" s="176" t="s">
        <v>49</v>
      </c>
      <c r="AD22" s="176" t="s">
        <v>49</v>
      </c>
      <c r="AE22" s="5"/>
      <c r="AF22" s="60"/>
    </row>
    <row r="23" spans="1:32" s="22" customFormat="1" ht="15.75" x14ac:dyDescent="0.25">
      <c r="A23" s="60"/>
      <c r="B23" s="173" t="s">
        <v>261</v>
      </c>
      <c r="C23" s="174">
        <v>1</v>
      </c>
      <c r="D23" s="174">
        <v>10</v>
      </c>
      <c r="E23" s="67">
        <f t="shared" si="9"/>
        <v>10</v>
      </c>
      <c r="F23" s="175">
        <v>1</v>
      </c>
      <c r="G23" s="216">
        <v>2</v>
      </c>
      <c r="H23" s="67">
        <f t="shared" si="0"/>
        <v>20</v>
      </c>
      <c r="I23" s="140" t="s">
        <v>49</v>
      </c>
      <c r="J23" s="140" t="s">
        <v>49</v>
      </c>
      <c r="K23" s="66"/>
      <c r="L23" s="176" t="str">
        <f t="shared" si="3"/>
        <v>Digital weighing scale</v>
      </c>
      <c r="M23" s="176">
        <f t="shared" si="4"/>
        <v>1</v>
      </c>
      <c r="N23" s="176">
        <f t="shared" si="5"/>
        <v>10</v>
      </c>
      <c r="O23" s="67">
        <f t="shared" si="10"/>
        <v>10</v>
      </c>
      <c r="P23" s="180">
        <v>1</v>
      </c>
      <c r="Q23" s="217">
        <v>3</v>
      </c>
      <c r="R23" s="67">
        <f t="shared" si="12"/>
        <v>30</v>
      </c>
      <c r="S23" s="176" t="s">
        <v>49</v>
      </c>
      <c r="T23" s="176" t="s">
        <v>49</v>
      </c>
      <c r="U23" s="68"/>
      <c r="V23" s="176" t="str">
        <f t="shared" si="6"/>
        <v>Digital weighing scale</v>
      </c>
      <c r="W23" s="176">
        <f t="shared" si="7"/>
        <v>1</v>
      </c>
      <c r="X23" s="176">
        <f t="shared" si="8"/>
        <v>10</v>
      </c>
      <c r="Y23" s="67">
        <f t="shared" si="11"/>
        <v>10</v>
      </c>
      <c r="Z23" s="180">
        <v>1</v>
      </c>
      <c r="AA23" s="176">
        <v>0</v>
      </c>
      <c r="AB23" s="67">
        <f t="shared" si="13"/>
        <v>0</v>
      </c>
      <c r="AC23" s="176" t="s">
        <v>49</v>
      </c>
      <c r="AD23" s="176" t="s">
        <v>49</v>
      </c>
      <c r="AE23" s="5"/>
      <c r="AF23" s="60"/>
    </row>
    <row r="24" spans="1:32" s="22" customFormat="1" ht="15.75" x14ac:dyDescent="0.25">
      <c r="A24" s="60"/>
      <c r="B24" s="173" t="s">
        <v>262</v>
      </c>
      <c r="C24" s="174">
        <v>1</v>
      </c>
      <c r="D24" s="174">
        <v>1350</v>
      </c>
      <c r="E24" s="67">
        <f t="shared" si="9"/>
        <v>1350</v>
      </c>
      <c r="F24" s="175">
        <v>1</v>
      </c>
      <c r="G24" s="216">
        <v>5</v>
      </c>
      <c r="H24" s="67">
        <f t="shared" si="0"/>
        <v>6750</v>
      </c>
      <c r="I24" s="140" t="s">
        <v>62</v>
      </c>
      <c r="J24" s="140" t="s">
        <v>49</v>
      </c>
      <c r="K24" s="66"/>
      <c r="L24" s="176" t="str">
        <f t="shared" si="3"/>
        <v>AC</v>
      </c>
      <c r="M24" s="176">
        <f t="shared" si="4"/>
        <v>1</v>
      </c>
      <c r="N24" s="176">
        <f t="shared" si="5"/>
        <v>1350</v>
      </c>
      <c r="O24" s="67">
        <f t="shared" si="10"/>
        <v>1350</v>
      </c>
      <c r="P24" s="180">
        <v>1</v>
      </c>
      <c r="Q24" s="217">
        <v>5</v>
      </c>
      <c r="R24" s="67">
        <f t="shared" si="12"/>
        <v>6750</v>
      </c>
      <c r="S24" s="176" t="s">
        <v>62</v>
      </c>
      <c r="T24" s="176" t="s">
        <v>49</v>
      </c>
      <c r="U24" s="68"/>
      <c r="V24" s="176" t="str">
        <f t="shared" si="6"/>
        <v>AC</v>
      </c>
      <c r="W24" s="176">
        <f t="shared" si="7"/>
        <v>1</v>
      </c>
      <c r="X24" s="176">
        <f t="shared" si="8"/>
        <v>1350</v>
      </c>
      <c r="Y24" s="67">
        <f t="shared" si="11"/>
        <v>1350</v>
      </c>
      <c r="Z24" s="180">
        <v>1</v>
      </c>
      <c r="AA24" s="176">
        <v>0</v>
      </c>
      <c r="AB24" s="67">
        <f t="shared" si="13"/>
        <v>0</v>
      </c>
      <c r="AC24" s="176" t="s">
        <v>62</v>
      </c>
      <c r="AD24" s="176" t="s">
        <v>49</v>
      </c>
      <c r="AE24" s="5"/>
      <c r="AF24" s="60"/>
    </row>
    <row r="25" spans="1:32" s="22" customFormat="1" ht="15.75" x14ac:dyDescent="0.25">
      <c r="A25" s="60"/>
      <c r="B25" s="173" t="s">
        <v>263</v>
      </c>
      <c r="C25" s="174">
        <v>1</v>
      </c>
      <c r="D25" s="174">
        <v>1500</v>
      </c>
      <c r="E25" s="67">
        <f t="shared" si="9"/>
        <v>1500</v>
      </c>
      <c r="F25" s="175">
        <v>0.3</v>
      </c>
      <c r="G25" s="216">
        <v>12.5</v>
      </c>
      <c r="H25" s="67">
        <f t="shared" si="0"/>
        <v>5625</v>
      </c>
      <c r="I25" s="140" t="s">
        <v>62</v>
      </c>
      <c r="J25" s="140" t="s">
        <v>49</v>
      </c>
      <c r="K25" s="66"/>
      <c r="L25" s="176" t="str">
        <f t="shared" si="3"/>
        <v>Water heater (Work hours)</v>
      </c>
      <c r="M25" s="176">
        <f t="shared" si="4"/>
        <v>1</v>
      </c>
      <c r="N25" s="176">
        <f t="shared" si="5"/>
        <v>1500</v>
      </c>
      <c r="O25" s="67">
        <f t="shared" si="10"/>
        <v>1500</v>
      </c>
      <c r="P25" s="180">
        <v>0.3</v>
      </c>
      <c r="Q25" s="217">
        <v>6.5</v>
      </c>
      <c r="R25" s="67">
        <f t="shared" ref="R25:R28" si="14">O25*P25*Q25</f>
        <v>2925</v>
      </c>
      <c r="S25" s="176" t="s">
        <v>62</v>
      </c>
      <c r="T25" s="176" t="s">
        <v>49</v>
      </c>
      <c r="U25" s="68"/>
      <c r="V25" s="176" t="str">
        <f t="shared" si="6"/>
        <v>Water heater (Work hours)</v>
      </c>
      <c r="W25" s="176">
        <f t="shared" si="7"/>
        <v>1</v>
      </c>
      <c r="X25" s="176">
        <f t="shared" si="8"/>
        <v>1500</v>
      </c>
      <c r="Y25" s="67">
        <f t="shared" si="11"/>
        <v>1500</v>
      </c>
      <c r="Z25" s="180">
        <v>0.3</v>
      </c>
      <c r="AA25" s="176">
        <v>0</v>
      </c>
      <c r="AB25" s="67">
        <f t="shared" si="13"/>
        <v>0</v>
      </c>
      <c r="AC25" s="176" t="s">
        <v>62</v>
      </c>
      <c r="AD25" s="176" t="s">
        <v>49</v>
      </c>
      <c r="AE25" s="5"/>
      <c r="AF25" s="60"/>
    </row>
    <row r="26" spans="1:32" s="22" customFormat="1" ht="15.75" x14ac:dyDescent="0.25">
      <c r="A26" s="60"/>
      <c r="B26" s="173" t="s">
        <v>264</v>
      </c>
      <c r="C26" s="174">
        <v>1</v>
      </c>
      <c r="D26" s="174">
        <v>1500</v>
      </c>
      <c r="E26" s="67">
        <f t="shared" si="9"/>
        <v>1500</v>
      </c>
      <c r="F26" s="175">
        <v>0.1</v>
      </c>
      <c r="G26" s="216">
        <v>11.5</v>
      </c>
      <c r="H26" s="67">
        <f t="shared" si="0"/>
        <v>1725</v>
      </c>
      <c r="I26" s="140" t="s">
        <v>62</v>
      </c>
      <c r="J26" s="140" t="s">
        <v>62</v>
      </c>
      <c r="K26" s="66"/>
      <c r="L26" s="176" t="str">
        <f t="shared" si="3"/>
        <v>Water heater (Rest hours)</v>
      </c>
      <c r="M26" s="176">
        <f t="shared" si="4"/>
        <v>1</v>
      </c>
      <c r="N26" s="176">
        <f t="shared" si="5"/>
        <v>1500</v>
      </c>
      <c r="O26" s="67">
        <f t="shared" si="10"/>
        <v>1500</v>
      </c>
      <c r="P26" s="180">
        <v>0.1</v>
      </c>
      <c r="Q26" s="217"/>
      <c r="R26" s="67">
        <f t="shared" si="14"/>
        <v>0</v>
      </c>
      <c r="S26" s="176" t="s">
        <v>62</v>
      </c>
      <c r="T26" s="176" t="s">
        <v>62</v>
      </c>
      <c r="U26" s="68"/>
      <c r="V26" s="176" t="str">
        <f t="shared" si="6"/>
        <v>Water heater (Rest hours)</v>
      </c>
      <c r="W26" s="176">
        <f t="shared" si="7"/>
        <v>1</v>
      </c>
      <c r="X26" s="176">
        <f t="shared" si="8"/>
        <v>1500</v>
      </c>
      <c r="Y26" s="67">
        <f t="shared" si="11"/>
        <v>1500</v>
      </c>
      <c r="Z26" s="180">
        <v>0.1</v>
      </c>
      <c r="AA26" s="176">
        <v>0</v>
      </c>
      <c r="AB26" s="67">
        <f t="shared" si="13"/>
        <v>0</v>
      </c>
      <c r="AC26" s="176" t="s">
        <v>62</v>
      </c>
      <c r="AD26" s="176" t="s">
        <v>62</v>
      </c>
      <c r="AE26" s="5"/>
      <c r="AF26" s="60"/>
    </row>
    <row r="27" spans="1:32" s="22" customFormat="1" ht="15.75" x14ac:dyDescent="0.25">
      <c r="A27" s="60"/>
      <c r="B27" s="173" t="s">
        <v>265</v>
      </c>
      <c r="C27" s="174">
        <v>1</v>
      </c>
      <c r="D27" s="174">
        <v>120</v>
      </c>
      <c r="E27" s="67">
        <f t="shared" si="9"/>
        <v>120</v>
      </c>
      <c r="F27" s="175">
        <v>1</v>
      </c>
      <c r="G27" s="216">
        <v>2</v>
      </c>
      <c r="H27" s="67">
        <f t="shared" si="0"/>
        <v>240</v>
      </c>
      <c r="I27" s="140" t="s">
        <v>62</v>
      </c>
      <c r="J27" s="140" t="s">
        <v>49</v>
      </c>
      <c r="K27" s="66"/>
      <c r="L27" s="176" t="str">
        <f t="shared" si="3"/>
        <v>TV</v>
      </c>
      <c r="M27" s="176">
        <f t="shared" si="4"/>
        <v>1</v>
      </c>
      <c r="N27" s="176">
        <f t="shared" si="5"/>
        <v>120</v>
      </c>
      <c r="O27" s="67">
        <f t="shared" si="10"/>
        <v>120</v>
      </c>
      <c r="P27" s="180">
        <v>1</v>
      </c>
      <c r="Q27" s="217">
        <v>2</v>
      </c>
      <c r="R27" s="67">
        <f t="shared" si="14"/>
        <v>240</v>
      </c>
      <c r="S27" s="176" t="s">
        <v>62</v>
      </c>
      <c r="T27" s="176" t="s">
        <v>49</v>
      </c>
      <c r="U27" s="68"/>
      <c r="V27" s="176" t="str">
        <f t="shared" si="6"/>
        <v>TV</v>
      </c>
      <c r="W27" s="176">
        <f t="shared" si="7"/>
        <v>1</v>
      </c>
      <c r="X27" s="176">
        <f t="shared" si="8"/>
        <v>120</v>
      </c>
      <c r="Y27" s="67">
        <f t="shared" si="11"/>
        <v>120</v>
      </c>
      <c r="Z27" s="180">
        <v>1</v>
      </c>
      <c r="AA27" s="176">
        <v>0</v>
      </c>
      <c r="AB27" s="67">
        <f t="shared" si="13"/>
        <v>0</v>
      </c>
      <c r="AC27" s="176" t="s">
        <v>62</v>
      </c>
      <c r="AD27" s="176" t="s">
        <v>49</v>
      </c>
      <c r="AE27" s="5"/>
      <c r="AF27" s="60"/>
    </row>
    <row r="28" spans="1:32" s="22" customFormat="1" ht="15.75" x14ac:dyDescent="0.25">
      <c r="A28" s="60"/>
      <c r="B28" s="173" t="s">
        <v>266</v>
      </c>
      <c r="C28" s="174">
        <v>2</v>
      </c>
      <c r="D28" s="174">
        <v>5</v>
      </c>
      <c r="E28" s="67">
        <f t="shared" si="9"/>
        <v>10</v>
      </c>
      <c r="F28" s="175">
        <v>1</v>
      </c>
      <c r="G28" s="216">
        <v>4</v>
      </c>
      <c r="H28" s="67">
        <f t="shared" si="0"/>
        <v>40</v>
      </c>
      <c r="I28" s="140" t="s">
        <v>49</v>
      </c>
      <c r="J28" s="140" t="s">
        <v>49</v>
      </c>
      <c r="K28" s="66"/>
      <c r="L28" s="176" t="str">
        <f t="shared" si="3"/>
        <v>Phone charger</v>
      </c>
      <c r="M28" s="176">
        <f t="shared" si="4"/>
        <v>2</v>
      </c>
      <c r="N28" s="176">
        <f t="shared" si="5"/>
        <v>5</v>
      </c>
      <c r="O28" s="67">
        <f t="shared" si="10"/>
        <v>10</v>
      </c>
      <c r="P28" s="180">
        <v>1</v>
      </c>
      <c r="Q28" s="217">
        <v>4</v>
      </c>
      <c r="R28" s="67">
        <f t="shared" si="14"/>
        <v>40</v>
      </c>
      <c r="S28" s="176" t="s">
        <v>49</v>
      </c>
      <c r="T28" s="176" t="s">
        <v>49</v>
      </c>
      <c r="U28" s="68"/>
      <c r="V28" s="176" t="str">
        <f t="shared" si="6"/>
        <v>Phone charger</v>
      </c>
      <c r="W28" s="176">
        <f t="shared" si="7"/>
        <v>2</v>
      </c>
      <c r="X28" s="176">
        <f t="shared" si="8"/>
        <v>5</v>
      </c>
      <c r="Y28" s="67">
        <f t="shared" si="11"/>
        <v>10</v>
      </c>
      <c r="Z28" s="180">
        <v>1</v>
      </c>
      <c r="AA28" s="176">
        <v>0</v>
      </c>
      <c r="AB28" s="67">
        <f t="shared" si="13"/>
        <v>0</v>
      </c>
      <c r="AC28" s="176" t="s">
        <v>49</v>
      </c>
      <c r="AD28" s="176" t="s">
        <v>49</v>
      </c>
      <c r="AE28" s="5"/>
      <c r="AF28" s="60"/>
    </row>
    <row r="29" spans="1:32" s="22" customFormat="1" ht="15.75" x14ac:dyDescent="0.25">
      <c r="A29" s="60"/>
      <c r="B29" s="173" t="s">
        <v>267</v>
      </c>
      <c r="C29" s="174">
        <v>1</v>
      </c>
      <c r="D29" s="174">
        <v>1000</v>
      </c>
      <c r="E29" s="67">
        <f t="shared" si="9"/>
        <v>1000</v>
      </c>
      <c r="F29" s="175">
        <v>1</v>
      </c>
      <c r="G29" s="216">
        <v>8.3333333333333329E-2</v>
      </c>
      <c r="H29" s="67">
        <f>E29*F29*G29</f>
        <v>83.333333333333329</v>
      </c>
      <c r="I29" s="140" t="s">
        <v>49</v>
      </c>
      <c r="J29" s="140" t="s">
        <v>49</v>
      </c>
      <c r="K29" s="66"/>
      <c r="L29" s="176" t="str">
        <f t="shared" si="3"/>
        <v>Microwave</v>
      </c>
      <c r="M29" s="176">
        <f t="shared" si="4"/>
        <v>1</v>
      </c>
      <c r="N29" s="176">
        <f t="shared" si="5"/>
        <v>1000</v>
      </c>
      <c r="O29" s="67">
        <f t="shared" si="10"/>
        <v>1000</v>
      </c>
      <c r="P29" s="180">
        <v>1</v>
      </c>
      <c r="Q29" s="217">
        <v>8.3333333333333329E-2</v>
      </c>
      <c r="R29" s="67">
        <f>O29*P29*Q29</f>
        <v>83.333333333333329</v>
      </c>
      <c r="S29" s="176" t="s">
        <v>49</v>
      </c>
      <c r="T29" s="176" t="s">
        <v>49</v>
      </c>
      <c r="U29" s="68"/>
      <c r="V29" s="176" t="str">
        <f t="shared" si="6"/>
        <v>Microwave</v>
      </c>
      <c r="W29" s="176">
        <f t="shared" si="7"/>
        <v>1</v>
      </c>
      <c r="X29" s="176">
        <f t="shared" si="8"/>
        <v>1000</v>
      </c>
      <c r="Y29" s="67">
        <f t="shared" si="11"/>
        <v>1000</v>
      </c>
      <c r="Z29" s="180">
        <v>1</v>
      </c>
      <c r="AA29" s="176">
        <v>0</v>
      </c>
      <c r="AB29" s="67">
        <f>Y29*Z29*AA29</f>
        <v>0</v>
      </c>
      <c r="AC29" s="176" t="s">
        <v>49</v>
      </c>
      <c r="AD29" s="176" t="s">
        <v>49</v>
      </c>
      <c r="AE29" s="5"/>
      <c r="AF29" s="60"/>
    </row>
    <row r="30" spans="1:32" s="22" customFormat="1" ht="15.75" x14ac:dyDescent="0.25">
      <c r="A30" s="60"/>
      <c r="B30" s="173"/>
      <c r="C30" s="174"/>
      <c r="D30" s="174"/>
      <c r="E30" s="67"/>
      <c r="F30" s="175"/>
      <c r="G30" s="140"/>
      <c r="H30" s="67"/>
      <c r="I30" s="140"/>
      <c r="J30" s="140"/>
      <c r="K30" s="66"/>
      <c r="L30" s="176"/>
      <c r="M30" s="176"/>
      <c r="N30" s="176">
        <f t="shared" si="5"/>
        <v>0</v>
      </c>
      <c r="O30" s="67"/>
      <c r="P30" s="180"/>
      <c r="Q30" s="176"/>
      <c r="R30" s="67"/>
      <c r="S30" s="176"/>
      <c r="T30" s="176"/>
      <c r="U30" s="68"/>
      <c r="V30" s="176">
        <f t="shared" si="6"/>
        <v>0</v>
      </c>
      <c r="W30" s="176">
        <f t="shared" si="7"/>
        <v>0</v>
      </c>
      <c r="X30" s="176">
        <f t="shared" si="8"/>
        <v>0</v>
      </c>
      <c r="Y30" s="67"/>
      <c r="Z30" s="180"/>
      <c r="AA30" s="176"/>
      <c r="AB30" s="67"/>
      <c r="AC30" s="176"/>
      <c r="AD30" s="176"/>
      <c r="AE30" s="5"/>
      <c r="AF30" s="60"/>
    </row>
    <row r="31" spans="1:32" s="22" customFormat="1" ht="15.75" x14ac:dyDescent="0.25">
      <c r="A31" s="60"/>
      <c r="B31" s="173"/>
      <c r="C31" s="174"/>
      <c r="D31" s="174"/>
      <c r="E31" s="67"/>
      <c r="F31" s="175"/>
      <c r="G31" s="140"/>
      <c r="H31" s="67"/>
      <c r="I31" s="140"/>
      <c r="J31" s="140"/>
      <c r="K31" s="66"/>
      <c r="L31" s="176"/>
      <c r="M31" s="176"/>
      <c r="N31" s="176">
        <f t="shared" si="5"/>
        <v>0</v>
      </c>
      <c r="O31" s="67"/>
      <c r="P31" s="180"/>
      <c r="Q31" s="176"/>
      <c r="R31" s="67"/>
      <c r="S31" s="176"/>
      <c r="T31" s="176"/>
      <c r="U31" s="68"/>
      <c r="V31" s="176">
        <f t="shared" si="6"/>
        <v>0</v>
      </c>
      <c r="W31" s="176">
        <f t="shared" si="7"/>
        <v>0</v>
      </c>
      <c r="X31" s="176">
        <f t="shared" si="8"/>
        <v>0</v>
      </c>
      <c r="Y31" s="67"/>
      <c r="Z31" s="180"/>
      <c r="AA31" s="176"/>
      <c r="AB31" s="67"/>
      <c r="AC31" s="176"/>
      <c r="AD31" s="176"/>
      <c r="AE31" s="5"/>
      <c r="AF31" s="60"/>
    </row>
    <row r="32" spans="1:32" s="22" customFormat="1" ht="15.75" x14ac:dyDescent="0.25">
      <c r="A32" s="60"/>
      <c r="B32" s="173"/>
      <c r="C32" s="174"/>
      <c r="D32" s="174"/>
      <c r="E32" s="67"/>
      <c r="F32" s="175"/>
      <c r="G32" s="140"/>
      <c r="H32" s="67"/>
      <c r="I32" s="140"/>
      <c r="J32" s="140"/>
      <c r="K32" s="66"/>
      <c r="L32" s="176"/>
      <c r="M32" s="176"/>
      <c r="N32" s="176">
        <f t="shared" si="5"/>
        <v>0</v>
      </c>
      <c r="O32" s="67"/>
      <c r="P32" s="180"/>
      <c r="Q32" s="176"/>
      <c r="R32" s="67"/>
      <c r="S32" s="176"/>
      <c r="T32" s="176"/>
      <c r="U32" s="68"/>
      <c r="V32" s="176">
        <f t="shared" si="6"/>
        <v>0</v>
      </c>
      <c r="W32" s="176">
        <f t="shared" si="7"/>
        <v>0</v>
      </c>
      <c r="X32" s="176">
        <f t="shared" si="8"/>
        <v>0</v>
      </c>
      <c r="Y32" s="67"/>
      <c r="Z32" s="180"/>
      <c r="AA32" s="176"/>
      <c r="AB32" s="67"/>
      <c r="AC32" s="176"/>
      <c r="AD32" s="176"/>
      <c r="AE32" s="5"/>
      <c r="AF32" s="60"/>
    </row>
    <row r="33" spans="1:32" s="22" customFormat="1" ht="15.75" x14ac:dyDescent="0.25">
      <c r="A33" s="60"/>
      <c r="B33" s="173"/>
      <c r="C33" s="174"/>
      <c r="D33" s="174"/>
      <c r="E33" s="67"/>
      <c r="F33" s="175"/>
      <c r="G33" s="140"/>
      <c r="H33" s="67"/>
      <c r="I33" s="140"/>
      <c r="J33" s="140"/>
      <c r="K33" s="66"/>
      <c r="L33" s="176"/>
      <c r="M33" s="176"/>
      <c r="N33" s="176">
        <f t="shared" si="5"/>
        <v>0</v>
      </c>
      <c r="O33" s="67"/>
      <c r="P33" s="180"/>
      <c r="Q33" s="176"/>
      <c r="R33" s="67"/>
      <c r="S33" s="176"/>
      <c r="T33" s="176"/>
      <c r="U33" s="68"/>
      <c r="V33" s="176">
        <f>B33</f>
        <v>0</v>
      </c>
      <c r="W33" s="176">
        <f t="shared" si="7"/>
        <v>0</v>
      </c>
      <c r="X33" s="176">
        <f t="shared" si="8"/>
        <v>0</v>
      </c>
      <c r="Y33" s="67"/>
      <c r="Z33" s="180"/>
      <c r="AA33" s="176"/>
      <c r="AB33" s="67"/>
      <c r="AC33" s="176"/>
      <c r="AD33" s="176"/>
      <c r="AE33" s="5"/>
      <c r="AF33" s="60"/>
    </row>
    <row r="34" spans="1:32" ht="15.75" thickBot="1" x14ac:dyDescent="0.3">
      <c r="A34" s="60"/>
      <c r="B34" s="5"/>
      <c r="C34" s="5"/>
      <c r="D34" s="5"/>
      <c r="E34" s="5"/>
      <c r="F34" s="9"/>
      <c r="G34" s="5"/>
      <c r="H34" s="5"/>
      <c r="I34" s="5"/>
      <c r="J34" s="5"/>
      <c r="K34" s="51"/>
      <c r="L34" s="51"/>
      <c r="M34" s="5"/>
      <c r="N34" s="5"/>
      <c r="O34" s="5"/>
      <c r="P34" s="5"/>
      <c r="Q34" s="5"/>
      <c r="R34" s="5"/>
      <c r="S34" s="5"/>
      <c r="T34" s="5"/>
      <c r="U34" s="5"/>
      <c r="V34" s="5"/>
      <c r="W34" s="5"/>
      <c r="X34" s="5"/>
      <c r="Y34" s="5"/>
      <c r="Z34" s="5"/>
      <c r="AA34" s="5"/>
      <c r="AB34" s="5"/>
      <c r="AC34" s="5"/>
      <c r="AD34" s="5"/>
      <c r="AE34" s="5"/>
      <c r="AF34" s="60"/>
    </row>
    <row r="35" spans="1:32" ht="15.75" x14ac:dyDescent="0.25">
      <c r="A35" s="60"/>
      <c r="B35" s="283" t="s">
        <v>92</v>
      </c>
      <c r="C35" s="86" t="s">
        <v>23</v>
      </c>
      <c r="D35" s="86" t="s">
        <v>9</v>
      </c>
      <c r="E35" s="86" t="s">
        <v>96</v>
      </c>
      <c r="F35" s="72"/>
      <c r="G35" s="288" t="s">
        <v>95</v>
      </c>
      <c r="H35" s="289"/>
      <c r="I35" s="179" t="s">
        <v>94</v>
      </c>
      <c r="J35" s="77"/>
      <c r="K35" s="297"/>
      <c r="L35" s="298"/>
      <c r="M35" s="298"/>
      <c r="N35" s="298"/>
      <c r="O35" s="298"/>
      <c r="P35" s="298"/>
      <c r="Q35" s="298"/>
      <c r="R35" s="298"/>
      <c r="S35" s="298"/>
      <c r="T35" s="298"/>
      <c r="U35" s="298"/>
      <c r="V35" s="298"/>
      <c r="W35" s="298"/>
      <c r="X35" s="298"/>
      <c r="Y35" s="298"/>
      <c r="Z35" s="298"/>
      <c r="AA35" s="298"/>
      <c r="AB35" s="298"/>
      <c r="AC35" s="298"/>
      <c r="AD35" s="298"/>
      <c r="AE35" s="298"/>
      <c r="AF35" s="60"/>
    </row>
    <row r="36" spans="1:32" ht="15.75" x14ac:dyDescent="0.25">
      <c r="A36" s="60"/>
      <c r="B36" s="284"/>
      <c r="C36" s="57">
        <f>SUM(H8:H33)</f>
        <v>22968.708333333332</v>
      </c>
      <c r="D36" s="57">
        <f>SUM(R8:R33)</f>
        <v>15093.608333333334</v>
      </c>
      <c r="E36" s="57">
        <f>SUM(AB8:AB33)</f>
        <v>816</v>
      </c>
      <c r="F36" s="85" t="s">
        <v>5</v>
      </c>
      <c r="G36" s="78"/>
      <c r="H36" s="55"/>
      <c r="I36" s="55"/>
      <c r="J36" s="73"/>
      <c r="K36" s="297"/>
      <c r="L36" s="298"/>
      <c r="M36" s="298"/>
      <c r="N36" s="298"/>
      <c r="O36" s="298"/>
      <c r="P36" s="298"/>
      <c r="Q36" s="298"/>
      <c r="R36" s="298"/>
      <c r="S36" s="298"/>
      <c r="T36" s="298"/>
      <c r="U36" s="298"/>
      <c r="V36" s="298"/>
      <c r="W36" s="298"/>
      <c r="X36" s="298"/>
      <c r="Y36" s="298"/>
      <c r="Z36" s="298"/>
      <c r="AA36" s="298"/>
      <c r="AB36" s="298"/>
      <c r="AC36" s="298"/>
      <c r="AD36" s="298"/>
      <c r="AE36" s="298"/>
      <c r="AF36" s="60"/>
    </row>
    <row r="37" spans="1:32" ht="15.75" x14ac:dyDescent="0.25">
      <c r="A37" s="60"/>
      <c r="B37" s="284"/>
      <c r="C37" s="71">
        <f>C36/1000</f>
        <v>22.968708333333332</v>
      </c>
      <c r="D37" s="71">
        <f t="shared" ref="D37:E37" si="15">D36/1000</f>
        <v>15.093608333333334</v>
      </c>
      <c r="E37" s="71">
        <f t="shared" si="15"/>
        <v>0.81599999999999995</v>
      </c>
      <c r="F37" s="85" t="s">
        <v>24</v>
      </c>
      <c r="G37" s="79" t="s">
        <v>36</v>
      </c>
      <c r="H37" s="59" t="s">
        <v>41</v>
      </c>
      <c r="I37" s="59" t="s">
        <v>30</v>
      </c>
      <c r="J37" s="83" t="s">
        <v>39</v>
      </c>
      <c r="K37" s="297"/>
      <c r="L37" s="298"/>
      <c r="M37" s="298"/>
      <c r="N37" s="298"/>
      <c r="O37" s="298"/>
      <c r="P37" s="298"/>
      <c r="Q37" s="298"/>
      <c r="R37" s="298"/>
      <c r="S37" s="298"/>
      <c r="T37" s="298"/>
      <c r="U37" s="298"/>
      <c r="V37" s="298"/>
      <c r="W37" s="298"/>
      <c r="X37" s="298"/>
      <c r="Y37" s="298"/>
      <c r="Z37" s="298"/>
      <c r="AA37" s="298"/>
      <c r="AB37" s="298"/>
      <c r="AC37" s="298"/>
      <c r="AD37" s="298"/>
      <c r="AE37" s="298"/>
      <c r="AF37" s="60"/>
    </row>
    <row r="38" spans="1:32" ht="16.5" thickBot="1" x14ac:dyDescent="0.3">
      <c r="A38" s="60"/>
      <c r="B38" s="285"/>
      <c r="C38" s="74"/>
      <c r="D38" s="74"/>
      <c r="E38" s="74"/>
      <c r="F38" s="75"/>
      <c r="G38" s="79" t="s">
        <v>89</v>
      </c>
      <c r="H38" s="177">
        <v>22</v>
      </c>
      <c r="I38" s="57">
        <f>IF(I35="Only essentials",C40*H38,C36*H38)</f>
        <v>189831.58333333334</v>
      </c>
      <c r="J38" s="181">
        <f>I38/1000</f>
        <v>189.83158333333336</v>
      </c>
      <c r="K38" s="297"/>
      <c r="L38" s="298"/>
      <c r="M38" s="298"/>
      <c r="N38" s="298"/>
      <c r="O38" s="298"/>
      <c r="P38" s="298"/>
      <c r="Q38" s="298"/>
      <c r="R38" s="298"/>
      <c r="S38" s="298"/>
      <c r="T38" s="298"/>
      <c r="U38" s="298"/>
      <c r="V38" s="298"/>
      <c r="W38" s="298"/>
      <c r="X38" s="298"/>
      <c r="Y38" s="298"/>
      <c r="Z38" s="298"/>
      <c r="AA38" s="298"/>
      <c r="AB38" s="298"/>
      <c r="AC38" s="298"/>
      <c r="AD38" s="298"/>
      <c r="AE38" s="298"/>
      <c r="AF38" s="60"/>
    </row>
    <row r="39" spans="1:32" ht="15.75" x14ac:dyDescent="0.25">
      <c r="A39" s="60"/>
      <c r="B39" s="283" t="s">
        <v>99</v>
      </c>
      <c r="C39" s="86" t="s">
        <v>23</v>
      </c>
      <c r="D39" s="86" t="s">
        <v>9</v>
      </c>
      <c r="E39" s="86" t="s">
        <v>96</v>
      </c>
      <c r="F39" s="72"/>
      <c r="G39" s="79" t="s">
        <v>37</v>
      </c>
      <c r="H39" s="177">
        <v>4</v>
      </c>
      <c r="I39" s="57">
        <f>IF(I35="Only essentials",D40*H39,D36*H39)</f>
        <v>20714.433333333331</v>
      </c>
      <c r="J39" s="181">
        <f>I39/1000</f>
        <v>20.714433333333332</v>
      </c>
      <c r="K39" s="297"/>
      <c r="L39" s="298"/>
      <c r="M39" s="298"/>
      <c r="N39" s="298"/>
      <c r="O39" s="298"/>
      <c r="P39" s="298"/>
      <c r="Q39" s="298"/>
      <c r="R39" s="298"/>
      <c r="S39" s="298"/>
      <c r="T39" s="298"/>
      <c r="U39" s="298"/>
      <c r="V39" s="298"/>
      <c r="W39" s="298"/>
      <c r="X39" s="298"/>
      <c r="Y39" s="298"/>
      <c r="Z39" s="298"/>
      <c r="AA39" s="298"/>
      <c r="AB39" s="298"/>
      <c r="AC39" s="298"/>
      <c r="AD39" s="298"/>
      <c r="AE39" s="298"/>
      <c r="AF39" s="60"/>
    </row>
    <row r="40" spans="1:32" ht="15.75" x14ac:dyDescent="0.25">
      <c r="A40" s="60"/>
      <c r="B40" s="284"/>
      <c r="C40" s="57">
        <f>SUMIF(I8:I33,"Yes",H8:H33)</f>
        <v>8628.7083333333339</v>
      </c>
      <c r="D40" s="57">
        <f>SUMIF(S8:S33,"Yes",R8:R33)</f>
        <v>5178.6083333333327</v>
      </c>
      <c r="E40" s="57">
        <f>SUMIF(AC8:AC33,"Yes",AB8:AB33)</f>
        <v>816</v>
      </c>
      <c r="F40" s="84" t="s">
        <v>5</v>
      </c>
      <c r="G40" s="79" t="s">
        <v>38</v>
      </c>
      <c r="H40" s="177">
        <v>4</v>
      </c>
      <c r="I40" s="57">
        <f>IF(I35="Only essentials",E40*H40,E36*H40)</f>
        <v>3264</v>
      </c>
      <c r="J40" s="181">
        <f>I40/1000</f>
        <v>3.2639999999999998</v>
      </c>
      <c r="K40" s="297"/>
      <c r="L40" s="298"/>
      <c r="M40" s="298"/>
      <c r="N40" s="298"/>
      <c r="O40" s="298"/>
      <c r="P40" s="298"/>
      <c r="Q40" s="298"/>
      <c r="R40" s="298"/>
      <c r="S40" s="298"/>
      <c r="T40" s="298"/>
      <c r="U40" s="298"/>
      <c r="V40" s="298"/>
      <c r="W40" s="298"/>
      <c r="X40" s="298"/>
      <c r="Y40" s="298"/>
      <c r="Z40" s="298"/>
      <c r="AA40" s="298"/>
      <c r="AB40" s="298"/>
      <c r="AC40" s="298"/>
      <c r="AD40" s="298"/>
      <c r="AE40" s="298"/>
      <c r="AF40" s="60"/>
    </row>
    <row r="41" spans="1:32" ht="15.75" x14ac:dyDescent="0.25">
      <c r="A41" s="60"/>
      <c r="B41" s="284"/>
      <c r="C41" s="71">
        <f>C40/1000</f>
        <v>8.6287083333333339</v>
      </c>
      <c r="D41" s="71">
        <f>D40/1000</f>
        <v>5.178608333333333</v>
      </c>
      <c r="E41" s="71">
        <f>E40/1000</f>
        <v>0.81599999999999995</v>
      </c>
      <c r="F41" s="84" t="s">
        <v>24</v>
      </c>
      <c r="G41" s="81" t="s">
        <v>139</v>
      </c>
      <c r="H41" s="178">
        <v>1</v>
      </c>
      <c r="I41" s="218">
        <f>D40/2</f>
        <v>2589.3041666666663</v>
      </c>
      <c r="J41" s="219">
        <f>I41/1000</f>
        <v>2.5893041666666665</v>
      </c>
      <c r="K41" s="297"/>
      <c r="L41" s="298"/>
      <c r="M41" s="298"/>
      <c r="N41" s="298"/>
      <c r="O41" s="298"/>
      <c r="P41" s="298"/>
      <c r="Q41" s="298"/>
      <c r="R41" s="298"/>
      <c r="S41" s="298"/>
      <c r="T41" s="298"/>
      <c r="U41" s="298"/>
      <c r="V41" s="298"/>
      <c r="W41" s="298"/>
      <c r="X41" s="298"/>
      <c r="Y41" s="298"/>
      <c r="Z41" s="298"/>
      <c r="AA41" s="298"/>
      <c r="AB41" s="298"/>
      <c r="AC41" s="298"/>
      <c r="AD41" s="298"/>
      <c r="AE41" s="298"/>
      <c r="AF41" s="60"/>
    </row>
    <row r="42" spans="1:32" ht="16.5" thickBot="1" x14ac:dyDescent="0.3">
      <c r="A42" s="60"/>
      <c r="B42" s="285"/>
      <c r="C42" s="76"/>
      <c r="D42" s="76"/>
      <c r="E42" s="74"/>
      <c r="F42" s="75"/>
      <c r="G42" s="80" t="s">
        <v>40</v>
      </c>
      <c r="H42" s="82">
        <f>SUM(H38:H41)</f>
        <v>31</v>
      </c>
      <c r="I42" s="82">
        <f>SUM(I38:I41)</f>
        <v>216399.32083333333</v>
      </c>
      <c r="J42" s="191">
        <f>SUM(J38:J41)</f>
        <v>216.39932083333335</v>
      </c>
      <c r="K42" s="297"/>
      <c r="L42" s="298"/>
      <c r="M42" s="298"/>
      <c r="N42" s="298"/>
      <c r="O42" s="298"/>
      <c r="P42" s="298"/>
      <c r="Q42" s="298"/>
      <c r="R42" s="298"/>
      <c r="S42" s="298"/>
      <c r="T42" s="298"/>
      <c r="U42" s="298"/>
      <c r="V42" s="298"/>
      <c r="W42" s="298"/>
      <c r="X42" s="298"/>
      <c r="Y42" s="298"/>
      <c r="Z42" s="298"/>
      <c r="AA42" s="298"/>
      <c r="AB42" s="298"/>
      <c r="AC42" s="298"/>
      <c r="AD42" s="298"/>
      <c r="AE42" s="298"/>
      <c r="AF42" s="60"/>
    </row>
    <row r="43" spans="1:32" ht="15.75" customHeight="1" x14ac:dyDescent="0.25">
      <c r="A43" s="60"/>
      <c r="B43" s="110"/>
      <c r="C43" s="132"/>
      <c r="D43" s="132"/>
      <c r="E43" s="110"/>
      <c r="F43" s="133"/>
      <c r="G43" s="104"/>
      <c r="H43" s="124"/>
      <c r="I43" s="124"/>
      <c r="J43" s="124"/>
      <c r="K43" s="123"/>
      <c r="L43" s="61"/>
      <c r="M43" s="60"/>
      <c r="N43" s="60"/>
      <c r="O43" s="60"/>
      <c r="P43" s="60"/>
      <c r="Q43" s="60"/>
      <c r="R43" s="60"/>
      <c r="S43" s="60"/>
      <c r="T43" s="60"/>
      <c r="U43" s="60"/>
      <c r="V43" s="60"/>
      <c r="W43" s="60"/>
      <c r="X43" s="60"/>
      <c r="Y43" s="60"/>
      <c r="Z43" s="60"/>
      <c r="AA43" s="60"/>
      <c r="AB43" s="60"/>
      <c r="AC43" s="60"/>
      <c r="AD43" s="60"/>
      <c r="AE43" s="60"/>
      <c r="AF43" s="60"/>
    </row>
    <row r="44" spans="1:32" ht="18.75" hidden="1" customHeight="1" x14ac:dyDescent="0.25">
      <c r="B44" s="43">
        <f>MAX(C36:E36)</f>
        <v>22968.708333333332</v>
      </c>
      <c r="C44" s="43">
        <f>MAX(C40:E40)</f>
        <v>8628.7083333333339</v>
      </c>
      <c r="D44" s="49"/>
      <c r="E44" s="50"/>
      <c r="F44" s="48"/>
      <c r="G44" s="31"/>
      <c r="H44" s="31"/>
      <c r="I44" s="31"/>
      <c r="J44" s="31"/>
      <c r="K44" s="6"/>
      <c r="L44" s="6"/>
      <c r="AE44" s="22"/>
    </row>
    <row r="45" spans="1:32" ht="14.25" hidden="1" customHeight="1" x14ac:dyDescent="0.25">
      <c r="B45" s="197">
        <f>MAX(C37:E37)</f>
        <v>22.968708333333332</v>
      </c>
      <c r="C45" s="197">
        <f>MAX(C41:E41)</f>
        <v>8.6287083333333339</v>
      </c>
      <c r="D45" s="8"/>
      <c r="E45" s="6"/>
      <c r="K45" s="7"/>
      <c r="L45" s="6"/>
      <c r="AE45" s="22"/>
    </row>
    <row r="46" spans="1:32" x14ac:dyDescent="0.25">
      <c r="B46" s="2"/>
      <c r="K46" s="4"/>
      <c r="AE46" s="22"/>
    </row>
    <row r="47" spans="1:32" s="22" customFormat="1" x14ac:dyDescent="0.25">
      <c r="B47" s="52"/>
      <c r="F47" s="33"/>
      <c r="K47" s="53"/>
    </row>
    <row r="48" spans="1:32" x14ac:dyDescent="0.25">
      <c r="B48" s="2"/>
      <c r="K48" s="4"/>
    </row>
    <row r="49" spans="4:14" x14ac:dyDescent="0.25">
      <c r="L49" s="3"/>
    </row>
    <row r="50" spans="4:14" x14ac:dyDescent="0.25">
      <c r="D50" s="13"/>
      <c r="E50" s="3"/>
    </row>
    <row r="51" spans="4:14" x14ac:dyDescent="0.25">
      <c r="D51" s="13"/>
      <c r="E51" s="3"/>
    </row>
    <row r="52" spans="4:14" x14ac:dyDescent="0.25">
      <c r="D52" s="13"/>
      <c r="E52" s="3"/>
    </row>
    <row r="53" spans="4:14" x14ac:dyDescent="0.25">
      <c r="D53" s="13"/>
      <c r="E53" s="3"/>
    </row>
    <row r="54" spans="4:14" x14ac:dyDescent="0.25">
      <c r="D54" s="13"/>
      <c r="E54" s="3"/>
      <c r="K54" s="3"/>
      <c r="M54" s="287"/>
      <c r="N54" s="16"/>
    </row>
    <row r="55" spans="4:14" x14ac:dyDescent="0.25">
      <c r="D55" s="13"/>
      <c r="E55" s="3"/>
      <c r="I55" s="3"/>
      <c r="J55" s="3"/>
      <c r="M55" s="287"/>
      <c r="N55" s="16"/>
    </row>
    <row r="56" spans="4:14" x14ac:dyDescent="0.25">
      <c r="D56" s="13"/>
      <c r="E56" s="3"/>
    </row>
    <row r="57" spans="4:14" x14ac:dyDescent="0.25">
      <c r="D57" s="13"/>
      <c r="E57" s="3"/>
      <c r="H57" s="11"/>
    </row>
    <row r="58" spans="4:14" x14ac:dyDescent="0.25">
      <c r="D58" s="13"/>
      <c r="E58" s="3"/>
      <c r="G58" s="10"/>
      <c r="H58" s="11"/>
      <c r="I58" s="3"/>
      <c r="J58" s="3"/>
    </row>
    <row r="59" spans="4:14" s="22" customFormat="1" x14ac:dyDescent="0.25">
      <c r="D59" s="130"/>
      <c r="E59" s="131"/>
      <c r="F59" s="33"/>
    </row>
    <row r="60" spans="4:14" s="22" customFormat="1" x14ac:dyDescent="0.25">
      <c r="D60" s="130"/>
      <c r="E60" s="131"/>
      <c r="F60" s="33"/>
    </row>
    <row r="61" spans="4:14" s="22" customFormat="1" x14ac:dyDescent="0.25">
      <c r="D61" s="130"/>
      <c r="E61" s="131"/>
      <c r="F61" s="33"/>
    </row>
    <row r="62" spans="4:14" s="22" customFormat="1" x14ac:dyDescent="0.25">
      <c r="F62" s="33"/>
    </row>
    <row r="63" spans="4:14" s="22" customFormat="1" x14ac:dyDescent="0.25">
      <c r="F63" s="33"/>
    </row>
    <row r="64" spans="4:14" s="22" customFormat="1" x14ac:dyDescent="0.25"/>
    <row r="65" spans="2:7" s="22" customFormat="1" x14ac:dyDescent="0.25">
      <c r="B65" s="21"/>
      <c r="C65" s="21"/>
      <c r="D65" s="21"/>
    </row>
    <row r="66" spans="2:7" s="22" customFormat="1" x14ac:dyDescent="0.25">
      <c r="B66" s="23"/>
      <c r="C66" s="23"/>
      <c r="D66" s="23"/>
    </row>
    <row r="67" spans="2:7" s="22" customFormat="1" x14ac:dyDescent="0.25">
      <c r="B67" s="23"/>
      <c r="C67" s="23"/>
      <c r="D67" s="23"/>
    </row>
    <row r="68" spans="2:7" s="22" customFormat="1" x14ac:dyDescent="0.25">
      <c r="B68" s="23"/>
      <c r="C68" s="23"/>
      <c r="D68" s="23"/>
    </row>
    <row r="69" spans="2:7" s="22" customFormat="1" x14ac:dyDescent="0.25">
      <c r="B69" s="23"/>
      <c r="C69" s="23"/>
      <c r="D69" s="23"/>
      <c r="G69" s="131"/>
    </row>
    <row r="70" spans="2:7" s="22" customFormat="1" x14ac:dyDescent="0.25">
      <c r="B70" s="24"/>
      <c r="C70" s="23"/>
      <c r="D70" s="23"/>
      <c r="F70" s="33"/>
    </row>
    <row r="71" spans="2:7" s="22" customFormat="1" x14ac:dyDescent="0.25">
      <c r="B71" s="21"/>
      <c r="C71" s="21"/>
      <c r="D71" s="21"/>
      <c r="F71" s="33"/>
    </row>
    <row r="72" spans="2:7" s="22" customFormat="1" x14ac:dyDescent="0.25">
      <c r="B72" s="21"/>
      <c r="C72" s="21"/>
      <c r="D72" s="21"/>
      <c r="F72" s="33"/>
    </row>
    <row r="73" spans="2:7" x14ac:dyDescent="0.25">
      <c r="B73" s="6"/>
      <c r="C73" s="6"/>
      <c r="D73" s="6"/>
    </row>
    <row r="74" spans="2:7" x14ac:dyDescent="0.25">
      <c r="B74" s="6"/>
      <c r="C74" s="6"/>
      <c r="D74" s="6"/>
    </row>
  </sheetData>
  <sheetProtection algorithmName="SHA-512" hashValue="Emo9xRQylNNwHA/Oj6gJC2mgqVXtOXrFOkM/1Wl0iRKh9cd+NS/G+Ht4uAVjIyDMOXEhs92LV7qtLfCsRjbgIw==" saltValue="RycpOjM3A0PspecXBZHdRw==" spinCount="100000" sheet="1" objects="1" scenarios="1" selectLockedCells="1"/>
  <mergeCells count="15">
    <mergeCell ref="B39:B42"/>
    <mergeCell ref="AD6:AD7"/>
    <mergeCell ref="M54:M55"/>
    <mergeCell ref="G35:H35"/>
    <mergeCell ref="J6:J7"/>
    <mergeCell ref="T6:T7"/>
    <mergeCell ref="B6:I6"/>
    <mergeCell ref="L6:R6"/>
    <mergeCell ref="V6:AC6"/>
    <mergeCell ref="K35:AE42"/>
    <mergeCell ref="B2:B3"/>
    <mergeCell ref="B4:J5"/>
    <mergeCell ref="L2:T5"/>
    <mergeCell ref="V2:AD5"/>
    <mergeCell ref="B35:B38"/>
  </mergeCells>
  <conditionalFormatting sqref="I41:J41">
    <cfRule type="expression" dxfId="19" priority="1">
      <formula>$H$41&gt;0</formula>
    </cfRule>
    <cfRule type="cellIs" dxfId="18" priority="2" operator="greaterThan">
      <formula>$H$41&gt;0</formula>
    </cfRule>
  </conditionalFormatting>
  <pageMargins left="0.7" right="0.7" top="0.75" bottom="0.75" header="0.3" footer="0.3"/>
  <ignoredErrors>
    <ignoredError sqref="I41:J41" unlockedFormula="1"/>
  </ignoredErrors>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D7D5E5C2-EF2C-491A-91EF-4434D0D74A7C}">
          <x14:formula1>
            <xm:f>'Values &amp; Tables'!$C$9:$C$10</xm:f>
          </x14:formula1>
          <xm:sqref>AC34</xm:sqref>
        </x14:dataValidation>
        <x14:dataValidation type="list" showInputMessage="1" showErrorMessage="1" xr:uid="{1B9BA416-C71B-45D0-BBD5-00374690A5D3}">
          <x14:formula1>
            <xm:f>'Values &amp; Tables'!$H$1:$H$38</xm:f>
          </x14:formula1>
          <xm:sqref>C8:C29</xm:sqref>
        </x14:dataValidation>
        <x14:dataValidation type="list" showInputMessage="1" showErrorMessage="1" xr:uid="{9B04B180-0825-4D7B-AD44-2D84163FB9F7}">
          <x14:formula1>
            <xm:f>'Values &amp; Tables'!$B$22:$B$32</xm:f>
          </x14:formula1>
          <xm:sqref>F9:F29</xm:sqref>
        </x14:dataValidation>
        <x14:dataValidation type="list" showInputMessage="1" showErrorMessage="1" xr:uid="{C85A2231-8C7D-4237-B362-9F2077FB272F}">
          <x14:formula1>
            <xm:f>'Values &amp; Tables'!$C$8:$C$10</xm:f>
          </x14:formula1>
          <xm:sqref>I8:I29 J8:J33 AC8:AD33</xm:sqref>
        </x14:dataValidation>
        <x14:dataValidation type="list" showInputMessage="1" showErrorMessage="1" xr:uid="{B6558D57-FF40-4B6B-A00B-233F569FF509}">
          <x14:formula1>
            <xm:f>'Values &amp; Tables'!$J$2:$J$14</xm:f>
          </x14:formula1>
          <xm:sqref>F8 Z8:Z33 P8:P33</xm:sqref>
        </x14:dataValidation>
        <x14:dataValidation type="list" allowBlank="1" showInputMessage="1" showErrorMessage="1" xr:uid="{517397EE-0D63-45E7-8637-E3ACA4BE6ABB}">
          <x14:formula1>
            <xm:f>'Values &amp; Tables'!$C$8:$C$10</xm:f>
          </x14:formula1>
          <xm:sqref>S8:T33</xm:sqref>
        </x14:dataValidation>
        <x14:dataValidation type="list" showInputMessage="1" showErrorMessage="1" xr:uid="{BE9E4A1A-5EE3-45E5-8732-8204DD9352C9}">
          <x14:formula1>
            <xm:f>'Values &amp; Tables'!$C$12:$C$14</xm:f>
          </x14:formula1>
          <xm:sqref>I35</xm:sqref>
        </x14:dataValidation>
        <x14:dataValidation type="list" showInputMessage="1" showErrorMessage="1" xr:uid="{9D4E7F04-B20C-40F0-B9E3-C6C3FC515E8D}">
          <x14:formula1>
            <xm:f>'Values &amp; Tables'!$H$2:$H$33</xm:f>
          </x14:formula1>
          <xm:sqref>H38:H41</xm:sqref>
        </x14:dataValidation>
        <x14:dataValidation type="list" showInputMessage="1" showErrorMessage="1" xr:uid="{AC15A97B-CD6A-40AD-A9D4-915736EB920F}">
          <x14:formula1>
            <xm:f>'Values &amp; Tables'!$A$61:$A$112</xm:f>
          </x14:formula1>
          <xm:sqref>G8:G33 Q8:Q33 AA8:AA33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F70C-FC7E-4E18-B555-50581D2376BA}">
  <dimension ref="A1:I43"/>
  <sheetViews>
    <sheetView zoomScale="90" zoomScaleNormal="90" workbookViewId="0">
      <selection activeCell="F28" sqref="F28"/>
    </sheetView>
  </sheetViews>
  <sheetFormatPr defaultRowHeight="15" x14ac:dyDescent="0.25"/>
  <cols>
    <col min="1" max="1" width="2.5703125" customWidth="1"/>
    <col min="2" max="2" width="25.7109375" customWidth="1"/>
    <col min="3" max="3" width="19.85546875" customWidth="1"/>
    <col min="4" max="6" width="16.5703125" bestFit="1" customWidth="1"/>
    <col min="7" max="7" width="17.85546875" customWidth="1"/>
    <col min="8" max="8" width="14.5703125" bestFit="1" customWidth="1"/>
    <col min="9" max="9" width="2.7109375" customWidth="1"/>
  </cols>
  <sheetData>
    <row r="1" spans="1:9" x14ac:dyDescent="0.25">
      <c r="A1" s="60"/>
      <c r="B1" s="60"/>
      <c r="C1" s="60"/>
      <c r="D1" s="60"/>
      <c r="E1" s="60"/>
      <c r="F1" s="60"/>
      <c r="G1" s="60"/>
      <c r="H1" s="60"/>
      <c r="I1" s="60"/>
    </row>
    <row r="2" spans="1:9" ht="23.25" customHeight="1" x14ac:dyDescent="0.25">
      <c r="A2" s="60"/>
      <c r="B2" s="210" t="s">
        <v>193</v>
      </c>
      <c r="C2" s="210"/>
      <c r="D2" s="309"/>
      <c r="E2" s="309"/>
      <c r="F2" s="309"/>
      <c r="G2" s="309"/>
      <c r="H2" s="309"/>
      <c r="I2" s="60"/>
    </row>
    <row r="3" spans="1:9" s="32" customFormat="1" ht="15" customHeight="1" x14ac:dyDescent="0.25">
      <c r="A3" s="60"/>
      <c r="B3" s="211"/>
      <c r="C3" s="211"/>
      <c r="D3" s="309"/>
      <c r="E3" s="309"/>
      <c r="F3" s="309"/>
      <c r="G3" s="309"/>
      <c r="H3" s="309"/>
      <c r="I3" s="60"/>
    </row>
    <row r="4" spans="1:9" s="32" customFormat="1" ht="15.75" customHeight="1" x14ac:dyDescent="0.25">
      <c r="A4" s="60"/>
      <c r="B4" s="321">
        <f>IF(AND('#1 Data'!C6="Yes",'#1 Data'!C7="yes"),"As your system will combine Wind and Solar energy, be sure to balance each ressource according to your budget",0)</f>
        <v>0</v>
      </c>
      <c r="C4" s="321"/>
      <c r="D4" s="321"/>
      <c r="E4" s="321"/>
      <c r="F4" s="321"/>
      <c r="G4" s="321"/>
      <c r="H4" s="321"/>
      <c r="I4" s="60"/>
    </row>
    <row r="5" spans="1:9" s="32" customFormat="1" ht="15.75" customHeight="1" x14ac:dyDescent="0.25">
      <c r="A5" s="60"/>
      <c r="B5" s="321"/>
      <c r="C5" s="321"/>
      <c r="D5" s="321"/>
      <c r="E5" s="321"/>
      <c r="F5" s="321"/>
      <c r="G5" s="321"/>
      <c r="H5" s="321"/>
      <c r="I5" s="60"/>
    </row>
    <row r="6" spans="1:9" s="32" customFormat="1" ht="15.75" customHeight="1" x14ac:dyDescent="0.25">
      <c r="A6" s="60"/>
      <c r="B6" s="322" t="str">
        <f>IF('#1 Data'!C6="No","As your system will not include wind energy you should skip this sheet",0)</f>
        <v>As your system will not include wind energy you should skip this sheet</v>
      </c>
      <c r="C6" s="322"/>
      <c r="D6" s="322"/>
      <c r="E6" s="322"/>
      <c r="F6" s="322"/>
      <c r="G6" s="322"/>
      <c r="H6" s="322"/>
      <c r="I6" s="60"/>
    </row>
    <row r="7" spans="1:9" ht="15" customHeight="1" x14ac:dyDescent="0.25">
      <c r="A7" s="60"/>
      <c r="B7" s="322"/>
      <c r="C7" s="322"/>
      <c r="D7" s="322"/>
      <c r="E7" s="322"/>
      <c r="F7" s="322"/>
      <c r="G7" s="322"/>
      <c r="H7" s="322"/>
      <c r="I7" s="60"/>
    </row>
    <row r="8" spans="1:9" s="32" customFormat="1" ht="12.75" customHeight="1" x14ac:dyDescent="0.25">
      <c r="A8" s="60"/>
      <c r="B8" s="320"/>
      <c r="C8" s="320"/>
      <c r="D8" s="320"/>
      <c r="E8" s="320"/>
      <c r="F8" s="320"/>
      <c r="G8" s="320"/>
      <c r="H8" s="320"/>
      <c r="I8" s="60"/>
    </row>
    <row r="9" spans="1:9" s="32" customFormat="1" ht="15.75" customHeight="1" x14ac:dyDescent="0.25">
      <c r="A9" s="60"/>
      <c r="B9" s="317" t="s">
        <v>227</v>
      </c>
      <c r="C9" s="317"/>
      <c r="D9" s="317"/>
      <c r="E9" s="317"/>
      <c r="F9" s="317"/>
      <c r="G9" s="317"/>
      <c r="H9" s="317"/>
      <c r="I9" s="60"/>
    </row>
    <row r="10" spans="1:9" s="32" customFormat="1" ht="20.25" customHeight="1" x14ac:dyDescent="0.25">
      <c r="A10" s="60"/>
      <c r="B10" s="317"/>
      <c r="C10" s="317"/>
      <c r="D10" s="317"/>
      <c r="E10" s="317"/>
      <c r="F10" s="317"/>
      <c r="G10" s="317"/>
      <c r="H10" s="317"/>
      <c r="I10" s="60"/>
    </row>
    <row r="11" spans="1:9" s="32" customFormat="1" ht="15.75" customHeight="1" x14ac:dyDescent="0.25">
      <c r="A11" s="60"/>
      <c r="B11" s="319"/>
      <c r="C11" s="319"/>
      <c r="D11" s="227"/>
      <c r="E11" s="227"/>
      <c r="F11" s="227"/>
      <c r="G11" s="227"/>
      <c r="H11" s="227"/>
      <c r="I11" s="60"/>
    </row>
    <row r="12" spans="1:9" ht="15.75" x14ac:dyDescent="0.25">
      <c r="A12" s="60"/>
      <c r="B12" s="252" t="s">
        <v>188</v>
      </c>
      <c r="C12" s="252"/>
      <c r="D12" s="227"/>
      <c r="E12" s="227"/>
      <c r="F12" s="227"/>
      <c r="G12" s="227"/>
      <c r="H12" s="227"/>
      <c r="I12" s="60"/>
    </row>
    <row r="13" spans="1:9" ht="15.75" x14ac:dyDescent="0.25">
      <c r="A13" s="60"/>
      <c r="B13" s="64" t="s">
        <v>27</v>
      </c>
      <c r="C13" s="182"/>
      <c r="D13" s="227"/>
      <c r="E13" s="227"/>
      <c r="F13" s="227"/>
      <c r="G13" s="227"/>
      <c r="H13" s="227"/>
      <c r="I13" s="60"/>
    </row>
    <row r="14" spans="1:9" ht="15.75" x14ac:dyDescent="0.25">
      <c r="A14" s="60"/>
      <c r="B14" s="64" t="s">
        <v>189</v>
      </c>
      <c r="C14" s="182"/>
      <c r="D14" s="227"/>
      <c r="E14" s="227"/>
      <c r="F14" s="227"/>
      <c r="G14" s="227"/>
      <c r="H14" s="227"/>
      <c r="I14" s="60"/>
    </row>
    <row r="15" spans="1:9" ht="15.75" x14ac:dyDescent="0.25">
      <c r="A15" s="60"/>
      <c r="B15" s="64" t="s">
        <v>230</v>
      </c>
      <c r="C15" s="140"/>
      <c r="D15" s="227"/>
      <c r="E15" s="227"/>
      <c r="F15" s="227"/>
      <c r="G15" s="227"/>
      <c r="H15" s="227"/>
      <c r="I15" s="60"/>
    </row>
    <row r="16" spans="1:9" ht="15.75" x14ac:dyDescent="0.25">
      <c r="A16" s="60"/>
      <c r="B16" s="64" t="s">
        <v>192</v>
      </c>
      <c r="C16" s="182"/>
      <c r="D16" s="227"/>
      <c r="E16" s="227"/>
      <c r="F16" s="227"/>
      <c r="G16" s="227"/>
      <c r="H16" s="227"/>
      <c r="I16" s="60"/>
    </row>
    <row r="17" spans="1:9" s="32" customFormat="1" ht="15.75" x14ac:dyDescent="0.25">
      <c r="A17" s="60"/>
      <c r="B17" s="64" t="s">
        <v>268</v>
      </c>
      <c r="C17" s="182"/>
      <c r="D17" s="227"/>
      <c r="E17" s="227"/>
      <c r="F17" s="227"/>
      <c r="G17" s="227"/>
      <c r="H17" s="227"/>
      <c r="I17" s="60"/>
    </row>
    <row r="18" spans="1:9" ht="15" customHeight="1" x14ac:dyDescent="0.25">
      <c r="A18" s="60"/>
      <c r="B18" s="318"/>
      <c r="C18" s="318"/>
      <c r="D18" s="227"/>
      <c r="E18" s="227"/>
      <c r="F18" s="227"/>
      <c r="G18" s="227"/>
      <c r="H18" s="227"/>
      <c r="I18" s="60"/>
    </row>
    <row r="19" spans="1:9" ht="15.75" x14ac:dyDescent="0.25">
      <c r="A19" s="60"/>
      <c r="B19" s="252" t="s">
        <v>194</v>
      </c>
      <c r="C19" s="252"/>
      <c r="D19" s="252"/>
      <c r="E19" s="252"/>
      <c r="F19" s="311"/>
      <c r="G19" s="312"/>
      <c r="H19" s="314" t="s">
        <v>199</v>
      </c>
      <c r="I19" s="60"/>
    </row>
    <row r="20" spans="1:9" ht="15.75" x14ac:dyDescent="0.25">
      <c r="A20" s="60"/>
      <c r="B20" s="64"/>
      <c r="C20" s="65" t="s">
        <v>195</v>
      </c>
      <c r="D20" s="65" t="s">
        <v>196</v>
      </c>
      <c r="E20" s="65" t="s">
        <v>197</v>
      </c>
      <c r="F20" s="63" t="s">
        <v>198</v>
      </c>
      <c r="G20" s="312"/>
      <c r="H20" s="315"/>
      <c r="I20" s="60"/>
    </row>
    <row r="21" spans="1:9" ht="15.75" x14ac:dyDescent="0.25">
      <c r="A21" s="60"/>
      <c r="B21" s="64"/>
      <c r="C21" s="65" t="s">
        <v>190</v>
      </c>
      <c r="D21" s="65" t="s">
        <v>190</v>
      </c>
      <c r="E21" s="65" t="s">
        <v>190</v>
      </c>
      <c r="F21" s="63" t="s">
        <v>190</v>
      </c>
      <c r="G21" s="312"/>
      <c r="H21" s="316"/>
      <c r="I21" s="121"/>
    </row>
    <row r="22" spans="1:9" ht="15.75" x14ac:dyDescent="0.25">
      <c r="A22" s="60"/>
      <c r="B22" s="64" t="s">
        <v>166</v>
      </c>
      <c r="C22" s="230"/>
      <c r="D22" s="230"/>
      <c r="E22" s="230"/>
      <c r="F22" s="231"/>
      <c r="G22" s="312"/>
      <c r="H22" s="122">
        <f>IFERROR(AVERAGE(C22:F22),0)</f>
        <v>0</v>
      </c>
      <c r="I22" s="96"/>
    </row>
    <row r="23" spans="1:9" ht="15.75" x14ac:dyDescent="0.25">
      <c r="A23" s="60"/>
      <c r="B23" s="64" t="s">
        <v>167</v>
      </c>
      <c r="C23" s="230"/>
      <c r="D23" s="230"/>
      <c r="E23" s="230"/>
      <c r="F23" s="231"/>
      <c r="G23" s="312"/>
      <c r="H23" s="122">
        <f t="shared" ref="H23:H33" si="0">IFERROR(AVERAGE(C23:F23),0)</f>
        <v>0</v>
      </c>
      <c r="I23" s="96"/>
    </row>
    <row r="24" spans="1:9" ht="15.75" x14ac:dyDescent="0.25">
      <c r="A24" s="60"/>
      <c r="B24" s="64" t="s">
        <v>168</v>
      </c>
      <c r="C24" s="230"/>
      <c r="D24" s="230"/>
      <c r="E24" s="230"/>
      <c r="F24" s="231"/>
      <c r="G24" s="312"/>
      <c r="H24" s="122">
        <f t="shared" si="0"/>
        <v>0</v>
      </c>
      <c r="I24" s="96"/>
    </row>
    <row r="25" spans="1:9" ht="15.75" x14ac:dyDescent="0.25">
      <c r="A25" s="60"/>
      <c r="B25" s="64" t="s">
        <v>169</v>
      </c>
      <c r="C25" s="230"/>
      <c r="D25" s="230"/>
      <c r="E25" s="230"/>
      <c r="F25" s="231"/>
      <c r="G25" s="312"/>
      <c r="H25" s="122">
        <f t="shared" si="0"/>
        <v>0</v>
      </c>
      <c r="I25" s="96"/>
    </row>
    <row r="26" spans="1:9" ht="15.75" x14ac:dyDescent="0.25">
      <c r="A26" s="60"/>
      <c r="B26" s="64" t="s">
        <v>7</v>
      </c>
      <c r="C26" s="230"/>
      <c r="D26" s="230"/>
      <c r="E26" s="230"/>
      <c r="F26" s="231"/>
      <c r="G26" s="312"/>
      <c r="H26" s="122">
        <f t="shared" si="0"/>
        <v>0</v>
      </c>
      <c r="I26" s="96"/>
    </row>
    <row r="27" spans="1:9" ht="15.75" x14ac:dyDescent="0.25">
      <c r="A27" s="60"/>
      <c r="B27" s="64" t="s">
        <v>170</v>
      </c>
      <c r="C27" s="230"/>
      <c r="D27" s="230"/>
      <c r="E27" s="230"/>
      <c r="F27" s="231"/>
      <c r="G27" s="312"/>
      <c r="H27" s="122">
        <f t="shared" si="0"/>
        <v>0</v>
      </c>
      <c r="I27" s="96"/>
    </row>
    <row r="28" spans="1:9" ht="15.75" x14ac:dyDescent="0.25">
      <c r="A28" s="60"/>
      <c r="B28" s="64" t="s">
        <v>171</v>
      </c>
      <c r="C28" s="230"/>
      <c r="D28" s="230"/>
      <c r="E28" s="230"/>
      <c r="F28" s="231"/>
      <c r="G28" s="312"/>
      <c r="H28" s="122">
        <f t="shared" si="0"/>
        <v>0</v>
      </c>
      <c r="I28" s="96"/>
    </row>
    <row r="29" spans="1:9" ht="15.75" x14ac:dyDescent="0.25">
      <c r="A29" s="60"/>
      <c r="B29" s="64" t="s">
        <v>172</v>
      </c>
      <c r="C29" s="230"/>
      <c r="D29" s="230"/>
      <c r="E29" s="230"/>
      <c r="F29" s="231"/>
      <c r="G29" s="312"/>
      <c r="H29" s="122">
        <f t="shared" si="0"/>
        <v>0</v>
      </c>
      <c r="I29" s="96"/>
    </row>
    <row r="30" spans="1:9" ht="15.75" x14ac:dyDescent="0.25">
      <c r="A30" s="60"/>
      <c r="B30" s="64" t="s">
        <v>173</v>
      </c>
      <c r="C30" s="230"/>
      <c r="D30" s="230"/>
      <c r="E30" s="230"/>
      <c r="F30" s="231"/>
      <c r="G30" s="312"/>
      <c r="H30" s="122">
        <f t="shared" si="0"/>
        <v>0</v>
      </c>
      <c r="I30" s="96"/>
    </row>
    <row r="31" spans="1:9" ht="15.75" x14ac:dyDescent="0.25">
      <c r="A31" s="60"/>
      <c r="B31" s="64" t="s">
        <v>174</v>
      </c>
      <c r="C31" s="230"/>
      <c r="D31" s="230"/>
      <c r="E31" s="230"/>
      <c r="F31" s="232"/>
      <c r="G31" s="312"/>
      <c r="H31" s="122">
        <f t="shared" si="0"/>
        <v>0</v>
      </c>
      <c r="I31" s="96"/>
    </row>
    <row r="32" spans="1:9" ht="15.75" x14ac:dyDescent="0.25">
      <c r="A32" s="60"/>
      <c r="B32" s="64" t="s">
        <v>175</v>
      </c>
      <c r="C32" s="230"/>
      <c r="D32" s="230"/>
      <c r="E32" s="230"/>
      <c r="F32" s="232"/>
      <c r="G32" s="312"/>
      <c r="H32" s="122">
        <f t="shared" si="0"/>
        <v>0</v>
      </c>
      <c r="I32" s="96"/>
    </row>
    <row r="33" spans="1:9" ht="15.75" x14ac:dyDescent="0.25">
      <c r="A33" s="60"/>
      <c r="B33" s="64" t="s">
        <v>176</v>
      </c>
      <c r="C33" s="230"/>
      <c r="D33" s="230"/>
      <c r="E33" s="230"/>
      <c r="F33" s="232"/>
      <c r="G33" s="313"/>
      <c r="H33" s="122">
        <f t="shared" si="0"/>
        <v>0</v>
      </c>
      <c r="I33" s="96"/>
    </row>
    <row r="34" spans="1:9" x14ac:dyDescent="0.25">
      <c r="A34" s="60"/>
      <c r="B34" s="307"/>
      <c r="C34" s="307"/>
      <c r="D34" s="307"/>
      <c r="E34" s="307"/>
      <c r="F34" s="308"/>
      <c r="G34" s="306" t="s">
        <v>191</v>
      </c>
      <c r="H34" s="299">
        <f>IFERROR(AVERAGEIF(H22:H33,"&gt;0"),0)</f>
        <v>0</v>
      </c>
      <c r="I34" s="303"/>
    </row>
    <row r="35" spans="1:9" x14ac:dyDescent="0.25">
      <c r="A35" s="60"/>
      <c r="B35" s="309"/>
      <c r="C35" s="309"/>
      <c r="D35" s="309"/>
      <c r="E35" s="309"/>
      <c r="F35" s="310"/>
      <c r="G35" s="306"/>
      <c r="H35" s="299"/>
      <c r="I35" s="303"/>
    </row>
    <row r="36" spans="1:9" ht="47.25" customHeight="1" x14ac:dyDescent="0.25">
      <c r="A36" s="60"/>
      <c r="B36" s="309"/>
      <c r="C36" s="309"/>
      <c r="D36" s="309"/>
      <c r="E36" s="309"/>
      <c r="F36" s="310"/>
      <c r="G36" s="126" t="s">
        <v>208</v>
      </c>
      <c r="H36" s="233"/>
      <c r="I36" s="125"/>
    </row>
    <row r="37" spans="1:9" ht="15.75" x14ac:dyDescent="0.25">
      <c r="A37" s="60"/>
      <c r="B37" s="304" t="s">
        <v>205</v>
      </c>
      <c r="C37" s="304"/>
      <c r="D37" s="204">
        <f>IF('#1 Data'!C6="Yes",'#2 Consumption'!J42, IF('#1 Data'!C6="No",0,0))</f>
        <v>0</v>
      </c>
      <c r="E37" s="192"/>
      <c r="F37" s="192"/>
      <c r="G37" s="192"/>
      <c r="H37" s="192"/>
      <c r="I37" s="60"/>
    </row>
    <row r="38" spans="1:9" ht="15.75" x14ac:dyDescent="0.25">
      <c r="A38" s="60"/>
      <c r="B38" s="304" t="s">
        <v>206</v>
      </c>
      <c r="C38" s="304"/>
      <c r="D38" s="204">
        <f>D37*12</f>
        <v>0</v>
      </c>
      <c r="E38" s="192"/>
      <c r="F38" s="192"/>
      <c r="G38" s="192"/>
      <c r="H38" s="192"/>
      <c r="I38" s="60"/>
    </row>
    <row r="39" spans="1:9" ht="30" customHeight="1" x14ac:dyDescent="0.25">
      <c r="A39" s="60"/>
      <c r="B39" s="305" t="s">
        <v>207</v>
      </c>
      <c r="C39" s="305"/>
      <c r="D39" s="205">
        <f>H36</f>
        <v>0</v>
      </c>
      <c r="E39" s="192"/>
      <c r="F39" s="192"/>
      <c r="G39" s="192"/>
      <c r="H39" s="192"/>
      <c r="I39" s="60"/>
    </row>
    <row r="40" spans="1:9" x14ac:dyDescent="0.25">
      <c r="A40" s="60"/>
      <c r="B40" s="300">
        <f>IF('#1 Data'!C15="Yes","As your system is out of the electrical grid you should produce (in this case) as minimum (kWh):",0)</f>
        <v>0</v>
      </c>
      <c r="C40" s="300"/>
      <c r="D40" s="301">
        <f>IF('#1 Data'!C15="Yes",'#2 Consumption'!B45,0)</f>
        <v>0</v>
      </c>
      <c r="E40" s="302">
        <f>IF('#1 Data'!C15="Yes","Remember that wind is not constant and the production may vary every day. As your system will be off-grid you will need a minimum value of energy per day. Consider to combine your turbine with a Solar PV system to ensure the required generation of energy",0)</f>
        <v>0</v>
      </c>
      <c r="F40" s="302"/>
      <c r="G40" s="302"/>
      <c r="H40" s="302"/>
      <c r="I40" s="60"/>
    </row>
    <row r="41" spans="1:9" x14ac:dyDescent="0.25">
      <c r="A41" s="60"/>
      <c r="B41" s="300"/>
      <c r="C41" s="300"/>
      <c r="D41" s="301"/>
      <c r="E41" s="302"/>
      <c r="F41" s="302"/>
      <c r="G41" s="302"/>
      <c r="H41" s="302"/>
      <c r="I41" s="60"/>
    </row>
    <row r="42" spans="1:9" ht="34.5" customHeight="1" x14ac:dyDescent="0.25">
      <c r="A42" s="60"/>
      <c r="B42" s="300"/>
      <c r="C42" s="300"/>
      <c r="D42" s="301"/>
      <c r="E42" s="302"/>
      <c r="F42" s="302"/>
      <c r="G42" s="302"/>
      <c r="H42" s="302"/>
      <c r="I42" s="60"/>
    </row>
    <row r="43" spans="1:9" x14ac:dyDescent="0.25">
      <c r="A43" s="60"/>
      <c r="B43" s="60"/>
      <c r="C43" s="60"/>
      <c r="D43" s="60"/>
      <c r="E43" s="60"/>
      <c r="F43" s="60"/>
      <c r="G43" s="60"/>
      <c r="H43" s="60"/>
      <c r="I43" s="60"/>
    </row>
  </sheetData>
  <sheetProtection algorithmName="SHA-512" hashValue="31OX9BX7DxYwAi/wwitaSE+Cm2r+R/2NDjqpcrbYzmnkv48AMV5bdKVavnVsZ0M23re8tpPR7JwcNVkMcm2ldw==" saltValue="RaW2JKIGBG8g9KP+KKAGxQ==" spinCount="100000" sheet="1" objects="1" scenarios="1" selectLockedCells="1"/>
  <mergeCells count="21">
    <mergeCell ref="B12:C12"/>
    <mergeCell ref="B19:F19"/>
    <mergeCell ref="G19:G33"/>
    <mergeCell ref="H19:H21"/>
    <mergeCell ref="D2:H3"/>
    <mergeCell ref="B9:H10"/>
    <mergeCell ref="B18:C18"/>
    <mergeCell ref="B11:C11"/>
    <mergeCell ref="B8:H8"/>
    <mergeCell ref="B4:H5"/>
    <mergeCell ref="B6:H7"/>
    <mergeCell ref="H34:H35"/>
    <mergeCell ref="B40:C42"/>
    <mergeCell ref="D40:D42"/>
    <mergeCell ref="E40:H42"/>
    <mergeCell ref="I34:I35"/>
    <mergeCell ref="B37:C37"/>
    <mergeCell ref="B38:C38"/>
    <mergeCell ref="B39:C39"/>
    <mergeCell ref="G34:G35"/>
    <mergeCell ref="B34:F36"/>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7D353081-6C4A-452D-A853-166BA0ACBE47}">
          <x14:formula1>
            <xm:f>'Values &amp; Tables'!$H$1:$H$7</xm:f>
          </x14:formula1>
          <xm:sqref>C16:C17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AFF7-EE4C-4CF2-81A9-617A2A1DB3FD}">
  <dimension ref="A1:V83"/>
  <sheetViews>
    <sheetView topLeftCell="A37" zoomScale="90" zoomScaleNormal="90" workbookViewId="0">
      <selection activeCell="I31" sqref="I31"/>
    </sheetView>
  </sheetViews>
  <sheetFormatPr defaultRowHeight="15" x14ac:dyDescent="0.25"/>
  <cols>
    <col min="1" max="1" width="2.7109375" style="32" customWidth="1"/>
    <col min="2" max="2" width="25.42578125" customWidth="1"/>
    <col min="3" max="3" width="15.5703125" customWidth="1"/>
    <col min="4" max="4" width="12.28515625" style="32" customWidth="1"/>
    <col min="5" max="5" width="10.140625" style="32" hidden="1" customWidth="1"/>
    <col min="6" max="6" width="18.7109375" customWidth="1"/>
    <col min="7" max="7" width="12.85546875" customWidth="1"/>
    <col min="8" max="8" width="15.140625" customWidth="1"/>
    <col min="9" max="9" width="12.28515625" customWidth="1"/>
    <col min="10" max="10" width="12.5703125" customWidth="1"/>
    <col min="11" max="11" width="10.7109375" customWidth="1"/>
    <col min="12" max="12" width="5.140625" customWidth="1"/>
    <col min="13" max="13" width="4" customWidth="1"/>
    <col min="14" max="14" width="10.7109375" customWidth="1"/>
    <col min="15" max="15" width="3.28515625" customWidth="1"/>
  </cols>
  <sheetData>
    <row r="1" spans="1:15" s="32" customFormat="1" x14ac:dyDescent="0.25">
      <c r="A1" s="60"/>
      <c r="B1" s="60"/>
      <c r="C1" s="60"/>
      <c r="D1" s="60"/>
      <c r="E1" s="60"/>
      <c r="F1" s="60"/>
      <c r="G1" s="60"/>
      <c r="H1" s="60"/>
      <c r="I1" s="60"/>
      <c r="J1" s="60"/>
      <c r="K1" s="60"/>
      <c r="L1" s="60"/>
      <c r="M1" s="60"/>
      <c r="N1" s="60"/>
      <c r="O1" s="60"/>
    </row>
    <row r="2" spans="1:15" ht="23.25" x14ac:dyDescent="0.25">
      <c r="A2" s="60"/>
      <c r="B2" s="278" t="s">
        <v>158</v>
      </c>
      <c r="C2" s="278"/>
      <c r="D2" s="278"/>
      <c r="E2" s="137"/>
      <c r="F2" s="309"/>
      <c r="G2" s="309"/>
      <c r="H2" s="309"/>
      <c r="I2" s="309"/>
      <c r="J2" s="309"/>
      <c r="K2" s="309"/>
      <c r="L2" s="309"/>
      <c r="M2" s="309"/>
      <c r="N2" s="309"/>
      <c r="O2" s="60"/>
    </row>
    <row r="3" spans="1:15" s="32" customFormat="1" ht="15" customHeight="1" x14ac:dyDescent="0.25">
      <c r="A3" s="60"/>
      <c r="B3" s="352"/>
      <c r="C3" s="352"/>
      <c r="D3" s="352"/>
      <c r="E3" s="184"/>
      <c r="F3" s="309"/>
      <c r="G3" s="309"/>
      <c r="H3" s="309"/>
      <c r="I3" s="309"/>
      <c r="J3" s="309"/>
      <c r="K3" s="309"/>
      <c r="L3" s="309"/>
      <c r="M3" s="309"/>
      <c r="N3" s="309"/>
      <c r="O3" s="60"/>
    </row>
    <row r="4" spans="1:15" s="32" customFormat="1" ht="15" customHeight="1" x14ac:dyDescent="0.25">
      <c r="A4" s="60"/>
      <c r="B4" s="354">
        <f>IF(AND('#1 Data'!C6="Yes",'#1 Data'!C7="yes"),"As your system will combine Wind and Solar energy, be sure to balance each ressource according to your budget",0)</f>
        <v>0</v>
      </c>
      <c r="C4" s="354"/>
      <c r="D4" s="354"/>
      <c r="E4" s="354"/>
      <c r="F4" s="354"/>
      <c r="G4" s="354"/>
      <c r="H4" s="354"/>
      <c r="I4" s="354"/>
      <c r="J4" s="309"/>
      <c r="K4" s="309"/>
      <c r="L4" s="309"/>
      <c r="M4" s="309"/>
      <c r="N4" s="309"/>
      <c r="O4" s="60"/>
    </row>
    <row r="5" spans="1:15" s="32" customFormat="1" ht="15" customHeight="1" x14ac:dyDescent="0.25">
      <c r="A5" s="60"/>
      <c r="B5" s="354"/>
      <c r="C5" s="354"/>
      <c r="D5" s="354"/>
      <c r="E5" s="354"/>
      <c r="F5" s="354"/>
      <c r="G5" s="354"/>
      <c r="H5" s="354"/>
      <c r="I5" s="354"/>
      <c r="J5" s="309"/>
      <c r="K5" s="309"/>
      <c r="L5" s="309"/>
      <c r="M5" s="309"/>
      <c r="N5" s="309"/>
      <c r="O5" s="60"/>
    </row>
    <row r="6" spans="1:15" s="32" customFormat="1" ht="15" customHeight="1" x14ac:dyDescent="0.25">
      <c r="A6" s="60"/>
      <c r="B6" s="322">
        <f>IF('#1 Data'!C7="No","As your system will not include Solar energy you should skip this sheet",0)</f>
        <v>0</v>
      </c>
      <c r="C6" s="322"/>
      <c r="D6" s="322"/>
      <c r="E6" s="322"/>
      <c r="F6" s="322"/>
      <c r="G6" s="322"/>
      <c r="H6" s="322"/>
      <c r="I6" s="322"/>
      <c r="J6" s="309"/>
      <c r="K6" s="309"/>
      <c r="L6" s="309"/>
      <c r="M6" s="309"/>
      <c r="N6" s="309"/>
      <c r="O6" s="60"/>
    </row>
    <row r="7" spans="1:15" ht="15" customHeight="1" x14ac:dyDescent="0.25">
      <c r="A7" s="60"/>
      <c r="B7" s="322"/>
      <c r="C7" s="322"/>
      <c r="D7" s="322"/>
      <c r="E7" s="322"/>
      <c r="F7" s="322"/>
      <c r="G7" s="322"/>
      <c r="H7" s="322"/>
      <c r="I7" s="322"/>
      <c r="J7" s="309"/>
      <c r="K7" s="309"/>
      <c r="L7" s="309"/>
      <c r="M7" s="309"/>
      <c r="N7" s="309"/>
      <c r="O7" s="60"/>
    </row>
    <row r="8" spans="1:15" s="32" customFormat="1" ht="15.75" x14ac:dyDescent="0.25">
      <c r="A8" s="60"/>
      <c r="B8" s="351"/>
      <c r="C8" s="351"/>
      <c r="D8" s="351"/>
      <c r="E8" s="351"/>
      <c r="F8" s="351"/>
      <c r="G8" s="351"/>
      <c r="H8" s="351"/>
      <c r="I8" s="351"/>
      <c r="J8" s="309"/>
      <c r="K8" s="309"/>
      <c r="L8" s="309"/>
      <c r="M8" s="309"/>
      <c r="N8" s="309"/>
      <c r="O8" s="60"/>
    </row>
    <row r="9" spans="1:15" s="32" customFormat="1" ht="15.75" customHeight="1" x14ac:dyDescent="0.25">
      <c r="A9" s="60"/>
      <c r="B9" s="353" t="s">
        <v>228</v>
      </c>
      <c r="C9" s="353"/>
      <c r="D9" s="353"/>
      <c r="E9" s="353"/>
      <c r="F9" s="353"/>
      <c r="G9" s="353"/>
      <c r="H9" s="353"/>
      <c r="I9" s="353"/>
      <c r="J9" s="309"/>
      <c r="K9" s="309"/>
      <c r="L9" s="309"/>
      <c r="M9" s="309"/>
      <c r="N9" s="309"/>
      <c r="O9" s="60"/>
    </row>
    <row r="10" spans="1:15" s="32" customFormat="1" ht="15.75" customHeight="1" x14ac:dyDescent="0.25">
      <c r="A10" s="60"/>
      <c r="B10" s="353"/>
      <c r="C10" s="353"/>
      <c r="D10" s="353"/>
      <c r="E10" s="353"/>
      <c r="F10" s="353"/>
      <c r="G10" s="353"/>
      <c r="H10" s="353"/>
      <c r="I10" s="353"/>
      <c r="J10" s="309"/>
      <c r="K10" s="309"/>
      <c r="L10" s="309"/>
      <c r="M10" s="309"/>
      <c r="N10" s="309"/>
      <c r="O10" s="60"/>
    </row>
    <row r="11" spans="1:15" s="32" customFormat="1" ht="15.75" x14ac:dyDescent="0.25">
      <c r="A11" s="60"/>
      <c r="B11" s="351"/>
      <c r="C11" s="351"/>
      <c r="D11" s="351"/>
      <c r="E11" s="351"/>
      <c r="F11" s="351"/>
      <c r="G11" s="351"/>
      <c r="H11" s="351"/>
      <c r="I11" s="351"/>
      <c r="J11" s="309"/>
      <c r="K11" s="309"/>
      <c r="L11" s="309"/>
      <c r="M11" s="309"/>
      <c r="N11" s="309"/>
      <c r="O11" s="60"/>
    </row>
    <row r="12" spans="1:15" s="32" customFormat="1" ht="15.75" customHeight="1" x14ac:dyDescent="0.25">
      <c r="A12" s="60"/>
      <c r="B12" s="355" t="s">
        <v>26</v>
      </c>
      <c r="C12" s="355"/>
      <c r="D12" s="309"/>
      <c r="E12" s="309"/>
      <c r="F12" s="309"/>
      <c r="G12" s="255"/>
      <c r="H12" s="255"/>
      <c r="I12" s="255"/>
      <c r="J12" s="255"/>
      <c r="K12" s="255"/>
      <c r="L12" s="255"/>
      <c r="M12" s="255"/>
      <c r="N12" s="255"/>
      <c r="O12" s="60"/>
    </row>
    <row r="13" spans="1:15" s="32" customFormat="1" ht="15.75" x14ac:dyDescent="0.25">
      <c r="A13" s="60"/>
      <c r="B13" s="64" t="s">
        <v>27</v>
      </c>
      <c r="C13" s="234" t="s">
        <v>240</v>
      </c>
      <c r="D13" s="309"/>
      <c r="E13" s="309"/>
      <c r="F13" s="309"/>
      <c r="G13" s="255"/>
      <c r="H13" s="255"/>
      <c r="I13" s="255"/>
      <c r="J13" s="255"/>
      <c r="K13" s="255"/>
      <c r="L13" s="255"/>
      <c r="M13" s="255"/>
      <c r="N13" s="255"/>
      <c r="O13" s="60"/>
    </row>
    <row r="14" spans="1:15" s="32" customFormat="1" ht="15.75" x14ac:dyDescent="0.25">
      <c r="A14" s="60"/>
      <c r="B14" s="64" t="s">
        <v>144</v>
      </c>
      <c r="C14" s="173">
        <v>320</v>
      </c>
      <c r="D14" s="309"/>
      <c r="E14" s="309"/>
      <c r="F14" s="309"/>
      <c r="G14" s="255"/>
      <c r="H14" s="255"/>
      <c r="I14" s="255"/>
      <c r="J14" s="255"/>
      <c r="K14" s="255"/>
      <c r="L14" s="255"/>
      <c r="M14" s="255"/>
      <c r="N14" s="255"/>
      <c r="O14" s="60"/>
    </row>
    <row r="15" spans="1:15" s="32" customFormat="1" ht="15.75" x14ac:dyDescent="0.25">
      <c r="A15" s="60"/>
      <c r="B15" s="64" t="s">
        <v>163</v>
      </c>
      <c r="C15" s="235">
        <v>8.39</v>
      </c>
      <c r="D15" s="309"/>
      <c r="E15" s="309"/>
      <c r="F15" s="309"/>
      <c r="G15" s="255"/>
      <c r="H15" s="255"/>
      <c r="I15" s="255"/>
      <c r="J15" s="255"/>
      <c r="K15" s="255"/>
      <c r="L15" s="255"/>
      <c r="M15" s="255"/>
      <c r="N15" s="255"/>
      <c r="O15" s="60"/>
    </row>
    <row r="16" spans="1:15" s="32" customFormat="1" ht="15.75" x14ac:dyDescent="0.25">
      <c r="A16" s="60"/>
      <c r="B16" s="64" t="s">
        <v>145</v>
      </c>
      <c r="C16" s="235">
        <v>8.98</v>
      </c>
      <c r="D16" s="309"/>
      <c r="E16" s="309"/>
      <c r="F16" s="309"/>
      <c r="G16" s="255"/>
      <c r="H16" s="255"/>
      <c r="I16" s="255"/>
      <c r="J16" s="255"/>
      <c r="K16" s="255"/>
      <c r="L16" s="255"/>
      <c r="M16" s="255"/>
      <c r="N16" s="255"/>
      <c r="O16" s="60"/>
    </row>
    <row r="17" spans="1:22" s="32" customFormat="1" ht="15.75" x14ac:dyDescent="0.25">
      <c r="A17" s="60"/>
      <c r="B17" s="64" t="s">
        <v>274</v>
      </c>
      <c r="C17" s="236">
        <v>45.15</v>
      </c>
      <c r="D17" s="309"/>
      <c r="E17" s="309"/>
      <c r="F17" s="309"/>
      <c r="G17" s="255"/>
      <c r="H17" s="255"/>
      <c r="I17" s="255"/>
      <c r="J17" s="255"/>
      <c r="K17" s="255"/>
      <c r="L17" s="255"/>
      <c r="M17" s="255"/>
      <c r="N17" s="255"/>
      <c r="O17" s="60"/>
    </row>
    <row r="18" spans="1:22" s="32" customFormat="1" x14ac:dyDescent="0.25">
      <c r="A18" s="60"/>
      <c r="B18" s="318"/>
      <c r="C18" s="318"/>
      <c r="D18" s="333"/>
      <c r="E18" s="333"/>
      <c r="F18" s="333"/>
      <c r="G18" s="255"/>
      <c r="H18" s="255"/>
      <c r="I18" s="255"/>
      <c r="J18" s="255"/>
      <c r="K18" s="255"/>
      <c r="L18" s="255"/>
      <c r="M18" s="255"/>
      <c r="N18" s="255"/>
      <c r="O18" s="60"/>
    </row>
    <row r="19" spans="1:22" s="32" customFormat="1" ht="15.75" x14ac:dyDescent="0.25">
      <c r="A19" s="60"/>
      <c r="B19" s="304" t="s">
        <v>125</v>
      </c>
      <c r="C19" s="304"/>
      <c r="D19" s="304"/>
      <c r="E19" s="136"/>
      <c r="F19" s="140" t="s">
        <v>127</v>
      </c>
      <c r="G19" s="255"/>
      <c r="H19" s="255"/>
      <c r="I19" s="255"/>
      <c r="J19" s="255"/>
      <c r="K19" s="255"/>
      <c r="L19" s="255"/>
      <c r="M19" s="255"/>
      <c r="N19" s="255"/>
      <c r="O19" s="60"/>
    </row>
    <row r="20" spans="1:22" s="32" customFormat="1" ht="15.75" x14ac:dyDescent="0.25">
      <c r="A20" s="60"/>
      <c r="B20" s="304" t="s">
        <v>128</v>
      </c>
      <c r="C20" s="304"/>
      <c r="D20" s="304"/>
      <c r="E20" s="136"/>
      <c r="F20" s="67" t="str">
        <f>IF(F19="South hemisphere","North",IF(F19="North hemisphere","South",0))</f>
        <v>North</v>
      </c>
      <c r="G20" s="255"/>
      <c r="H20" s="255"/>
      <c r="I20" s="255"/>
      <c r="J20" s="255"/>
      <c r="K20" s="255"/>
      <c r="L20" s="255"/>
      <c r="M20" s="255"/>
      <c r="N20" s="255"/>
      <c r="O20" s="60"/>
    </row>
    <row r="21" spans="1:22" s="32" customFormat="1" ht="15.75" x14ac:dyDescent="0.25">
      <c r="A21" s="60"/>
      <c r="B21" s="304" t="s">
        <v>164</v>
      </c>
      <c r="C21" s="304"/>
      <c r="D21" s="304"/>
      <c r="E21" s="136"/>
      <c r="F21" s="237">
        <v>34</v>
      </c>
      <c r="G21" s="255"/>
      <c r="H21" s="255"/>
      <c r="I21" s="255"/>
      <c r="J21" s="255"/>
      <c r="K21" s="255"/>
      <c r="L21" s="255"/>
      <c r="M21" s="255"/>
      <c r="N21" s="255"/>
      <c r="O21" s="60"/>
    </row>
    <row r="22" spans="1:22" s="32" customFormat="1" ht="15.75" x14ac:dyDescent="0.25">
      <c r="A22" s="60"/>
      <c r="B22" s="304" t="s">
        <v>131</v>
      </c>
      <c r="C22" s="304"/>
      <c r="D22" s="304"/>
      <c r="E22" s="136"/>
      <c r="F22" s="67">
        <f>VLOOKUP(F21,angulo,2,FALSE)</f>
        <v>30</v>
      </c>
      <c r="G22" s="255"/>
      <c r="H22" s="255"/>
      <c r="I22" s="255"/>
      <c r="J22" s="255"/>
      <c r="K22" s="255"/>
      <c r="L22" s="255"/>
      <c r="M22" s="255"/>
      <c r="N22" s="255"/>
      <c r="O22" s="60"/>
    </row>
    <row r="23" spans="1:22" s="32" customFormat="1" ht="15.75" x14ac:dyDescent="0.25">
      <c r="A23" s="60"/>
      <c r="B23" s="304" t="s">
        <v>137</v>
      </c>
      <c r="C23" s="304"/>
      <c r="D23" s="304"/>
      <c r="E23" s="136"/>
      <c r="F23" s="176" t="s">
        <v>47</v>
      </c>
      <c r="G23" s="255"/>
      <c r="H23" s="255"/>
      <c r="I23" s="255"/>
      <c r="J23" s="255"/>
      <c r="K23" s="255"/>
      <c r="L23" s="255"/>
      <c r="M23" s="255"/>
      <c r="N23" s="255"/>
      <c r="O23" s="60"/>
    </row>
    <row r="24" spans="1:22" s="32" customFormat="1" ht="30" customHeight="1" x14ac:dyDescent="0.25">
      <c r="A24" s="60"/>
      <c r="B24" s="305" t="s">
        <v>165</v>
      </c>
      <c r="C24" s="305"/>
      <c r="D24" s="305"/>
      <c r="E24" s="138"/>
      <c r="F24" s="238" t="s">
        <v>110</v>
      </c>
      <c r="G24" s="254"/>
      <c r="H24" s="254"/>
      <c r="I24" s="254"/>
      <c r="J24" s="254"/>
      <c r="K24" s="254"/>
      <c r="L24" s="254"/>
      <c r="M24" s="254"/>
      <c r="N24" s="254"/>
      <c r="O24" s="60"/>
    </row>
    <row r="25" spans="1:22" s="32" customFormat="1" x14ac:dyDescent="0.25">
      <c r="A25" s="60"/>
      <c r="B25" s="350" t="str">
        <f>IF(F24="Roof","Take all the safety measures and equipment needed for working at height, also consider to request plans of the roof to the owner to confirm the roof can hold the weight, especially if the installation is big and the batteries bank will be also on the roof",0)</f>
        <v>Take all the safety measures and equipment needed for working at height, also consider to request plans of the roof to the owner to confirm the roof can hold the weight, especially if the installation is big and the batteries bank will be also on the roof</v>
      </c>
      <c r="C25" s="350"/>
      <c r="D25" s="350"/>
      <c r="E25" s="350"/>
      <c r="F25" s="350"/>
      <c r="G25" s="350"/>
      <c r="H25" s="350"/>
      <c r="I25" s="350"/>
      <c r="J25" s="350"/>
      <c r="K25" s="350"/>
      <c r="L25" s="350"/>
      <c r="M25" s="350"/>
      <c r="N25" s="350"/>
      <c r="O25" s="95"/>
      <c r="P25" s="38"/>
      <c r="Q25" s="38"/>
      <c r="R25" s="38"/>
      <c r="S25" s="38"/>
    </row>
    <row r="26" spans="1:22" s="32" customFormat="1" x14ac:dyDescent="0.25">
      <c r="A26" s="60"/>
      <c r="B26" s="350"/>
      <c r="C26" s="350"/>
      <c r="D26" s="350"/>
      <c r="E26" s="350"/>
      <c r="F26" s="350"/>
      <c r="G26" s="350"/>
      <c r="H26" s="350"/>
      <c r="I26" s="350"/>
      <c r="J26" s="350"/>
      <c r="K26" s="350"/>
      <c r="L26" s="350"/>
      <c r="M26" s="350"/>
      <c r="N26" s="350"/>
      <c r="O26" s="95"/>
      <c r="P26" s="38"/>
      <c r="Q26" s="38"/>
      <c r="R26" s="38"/>
      <c r="S26" s="38"/>
    </row>
    <row r="27" spans="1:22" s="32" customFormat="1" x14ac:dyDescent="0.25">
      <c r="A27" s="60"/>
      <c r="B27" s="350"/>
      <c r="C27" s="350"/>
      <c r="D27" s="350"/>
      <c r="E27" s="350"/>
      <c r="F27" s="350"/>
      <c r="G27" s="350"/>
      <c r="H27" s="350"/>
      <c r="I27" s="350"/>
      <c r="J27" s="350"/>
      <c r="K27" s="350"/>
      <c r="L27" s="350"/>
      <c r="M27" s="350"/>
      <c r="N27" s="350"/>
      <c r="O27" s="95"/>
      <c r="P27" s="38"/>
      <c r="Q27" s="38"/>
      <c r="R27" s="38"/>
      <c r="S27" s="38"/>
    </row>
    <row r="28" spans="1:22" s="32" customFormat="1" x14ac:dyDescent="0.25">
      <c r="A28" s="60"/>
      <c r="B28" s="334" t="str">
        <f>IF(F24="Roof","Also, in flat roofs check if is possible to drill holes on it to hold the solar panels structure, otherwise you must include masonry works to build bases to lay the structure on it",0)</f>
        <v>Also, in flat roofs check if is possible to drill holes on it to hold the solar panels structure, otherwise you must include masonry works to build bases to lay the structure on it</v>
      </c>
      <c r="C28" s="335"/>
      <c r="D28" s="335"/>
      <c r="E28" s="335"/>
      <c r="F28" s="335"/>
      <c r="G28" s="335"/>
      <c r="H28" s="335"/>
      <c r="I28" s="335"/>
      <c r="J28" s="335"/>
      <c r="K28" s="335"/>
      <c r="L28" s="335"/>
      <c r="M28" s="335"/>
      <c r="N28" s="336"/>
      <c r="O28" s="93"/>
      <c r="P28" s="38"/>
      <c r="Q28" s="38"/>
      <c r="R28" s="38"/>
      <c r="S28" s="38"/>
    </row>
    <row r="29" spans="1:22" s="32" customFormat="1" x14ac:dyDescent="0.25">
      <c r="A29" s="60"/>
      <c r="B29" s="307"/>
      <c r="C29" s="307"/>
      <c r="D29" s="307"/>
      <c r="E29" s="307"/>
      <c r="F29" s="307"/>
      <c r="G29" s="307"/>
      <c r="H29" s="307"/>
      <c r="I29" s="307"/>
      <c r="J29" s="307"/>
      <c r="K29" s="307"/>
      <c r="L29" s="307"/>
      <c r="M29" s="307"/>
      <c r="N29" s="307"/>
      <c r="O29" s="93"/>
      <c r="P29" s="38"/>
      <c r="Q29" s="213"/>
      <c r="R29" s="38"/>
      <c r="S29" s="38"/>
    </row>
    <row r="30" spans="1:22" s="32" customFormat="1" ht="50.25" customHeight="1" x14ac:dyDescent="0.25">
      <c r="A30" s="60"/>
      <c r="B30" s="338" t="s">
        <v>111</v>
      </c>
      <c r="C30" s="332" t="s">
        <v>242</v>
      </c>
      <c r="D30" s="332" t="s">
        <v>241</v>
      </c>
      <c r="E30" s="139"/>
      <c r="F30" s="332" t="s">
        <v>123</v>
      </c>
      <c r="G30" s="339" t="s">
        <v>122</v>
      </c>
      <c r="H30" s="89" t="s">
        <v>159</v>
      </c>
      <c r="I30" s="89" t="s">
        <v>159</v>
      </c>
      <c r="J30" s="90" t="s">
        <v>160</v>
      </c>
      <c r="K30" s="127">
        <f>IF('#1 Data'!C15="Yes", "kWh needed per day",0)</f>
        <v>0</v>
      </c>
      <c r="L30" s="337"/>
      <c r="M30" s="337"/>
      <c r="N30" s="337"/>
      <c r="O30" s="93"/>
      <c r="P30" s="38"/>
      <c r="Q30" s="214"/>
      <c r="R30" s="213"/>
      <c r="S30" s="38"/>
      <c r="T30" s="38"/>
      <c r="U30" s="38"/>
      <c r="V30" s="38"/>
    </row>
    <row r="31" spans="1:22" s="32" customFormat="1" ht="30" customHeight="1" x14ac:dyDescent="0.25">
      <c r="A31" s="60"/>
      <c r="B31" s="338"/>
      <c r="C31" s="332"/>
      <c r="D31" s="332"/>
      <c r="E31" s="139"/>
      <c r="F31" s="332"/>
      <c r="G31" s="339"/>
      <c r="H31" s="88">
        <v>1</v>
      </c>
      <c r="I31" s="239">
        <v>6</v>
      </c>
      <c r="J31" s="242">
        <f>I31</f>
        <v>6</v>
      </c>
      <c r="K31" s="56"/>
      <c r="L31" s="337"/>
      <c r="M31" s="337"/>
      <c r="N31" s="337"/>
      <c r="O31" s="96"/>
    </row>
    <row r="32" spans="1:22" s="32" customFormat="1" x14ac:dyDescent="0.25">
      <c r="A32" s="60"/>
      <c r="B32" s="92" t="s">
        <v>166</v>
      </c>
      <c r="C32" s="240">
        <v>7.04</v>
      </c>
      <c r="D32" s="241">
        <v>30</v>
      </c>
      <c r="E32" s="188">
        <f>D32+20</f>
        <v>50</v>
      </c>
      <c r="F32" s="215">
        <f t="shared" ref="F32:F43" si="0">IFERROR(VLOOKUP(E32,Performance,2,FALSE),0)</f>
        <v>0.875</v>
      </c>
      <c r="G32" s="323"/>
      <c r="H32" s="58">
        <f>(($C$14*86.5%*C32)/1000)*F32</f>
        <v>1.7050879999999999</v>
      </c>
      <c r="I32" s="58">
        <f>H32*$I$31</f>
        <v>10.230528</v>
      </c>
      <c r="J32" s="58">
        <f>I32*31</f>
        <v>317.146368</v>
      </c>
      <c r="K32" s="198">
        <f>IF(AND('#1 Data'!$C$15="yes",'#2 Consumption'!$I$35="Only essentials"),'#2 Consumption'!$C$45,IF(AND('#1 Data'!$C$15="Yes",'#2 Consumption'!$I$35="All items"),'#2 Consumption'!$B$45,0))</f>
        <v>0</v>
      </c>
      <c r="L32" s="337"/>
      <c r="M32" s="337"/>
      <c r="N32" s="337"/>
      <c r="O32" s="96"/>
      <c r="R32"/>
    </row>
    <row r="33" spans="1:17" s="32" customFormat="1" x14ac:dyDescent="0.25">
      <c r="A33" s="60"/>
      <c r="B33" s="92" t="s">
        <v>167</v>
      </c>
      <c r="C33" s="240">
        <v>6.81</v>
      </c>
      <c r="D33" s="241">
        <v>29</v>
      </c>
      <c r="E33" s="188">
        <f t="shared" ref="E33:E43" si="1">D33+20</f>
        <v>49</v>
      </c>
      <c r="F33" s="215">
        <f t="shared" si="0"/>
        <v>0.88</v>
      </c>
      <c r="G33" s="323"/>
      <c r="H33" s="58">
        <f t="shared" ref="H33:H43" si="2">(($C$14*86.5%*C33)/1000)*F33</f>
        <v>1.6588070400000001</v>
      </c>
      <c r="I33" s="58">
        <f t="shared" ref="I33:I43" si="3">H33*$I$31</f>
        <v>9.9528422400000007</v>
      </c>
      <c r="J33" s="58">
        <f>I33*28</f>
        <v>278.67958272000004</v>
      </c>
      <c r="K33" s="198">
        <f>IF(AND('#1 Data'!$C$15="yes",'#2 Consumption'!$I$35="Only essentials"),'#2 Consumption'!$C$45,IF(AND('#1 Data'!$C$15="Yes",'#2 Consumption'!$I$35="All items"),'#2 Consumption'!$B$45,0))</f>
        <v>0</v>
      </c>
      <c r="L33" s="337"/>
      <c r="M33" s="337"/>
      <c r="N33" s="337"/>
      <c r="O33" s="95"/>
    </row>
    <row r="34" spans="1:17" s="32" customFormat="1" x14ac:dyDescent="0.25">
      <c r="A34" s="60"/>
      <c r="B34" s="92" t="s">
        <v>168</v>
      </c>
      <c r="C34" s="240">
        <v>6.5</v>
      </c>
      <c r="D34" s="241">
        <v>27</v>
      </c>
      <c r="E34" s="188">
        <f t="shared" si="1"/>
        <v>47</v>
      </c>
      <c r="F34" s="215">
        <f t="shared" si="0"/>
        <v>0.89</v>
      </c>
      <c r="G34" s="323"/>
      <c r="H34" s="58">
        <f t="shared" si="2"/>
        <v>1.601288</v>
      </c>
      <c r="I34" s="58">
        <f t="shared" si="3"/>
        <v>9.6077279999999998</v>
      </c>
      <c r="J34" s="58">
        <f>I34*31</f>
        <v>297.83956799999999</v>
      </c>
      <c r="K34" s="198">
        <f>IF(AND('#1 Data'!$C$15="yes",'#2 Consumption'!$I$35="Only essentials"),'#2 Consumption'!$C$45,IF(AND('#1 Data'!$C$15="Yes",'#2 Consumption'!$I$35="All items"),'#2 Consumption'!$B$45,0))</f>
        <v>0</v>
      </c>
      <c r="L34" s="337"/>
      <c r="M34" s="337"/>
      <c r="N34" s="337"/>
      <c r="O34" s="60"/>
    </row>
    <row r="35" spans="1:17" s="32" customFormat="1" x14ac:dyDescent="0.25">
      <c r="A35" s="60"/>
      <c r="B35" s="92" t="s">
        <v>169</v>
      </c>
      <c r="C35" s="240">
        <v>5.52</v>
      </c>
      <c r="D35" s="241">
        <v>23</v>
      </c>
      <c r="E35" s="188">
        <f t="shared" si="1"/>
        <v>43</v>
      </c>
      <c r="F35" s="215">
        <f t="shared" si="0"/>
        <v>0.91</v>
      </c>
      <c r="G35" s="323"/>
      <c r="H35" s="58">
        <f t="shared" si="2"/>
        <v>1.39042176</v>
      </c>
      <c r="I35" s="58">
        <f t="shared" si="3"/>
        <v>8.3425305600000002</v>
      </c>
      <c r="J35" s="58">
        <f t="shared" ref="J35:J42" si="4">I35*30</f>
        <v>250.2759168</v>
      </c>
      <c r="K35" s="198">
        <f>IF(AND('#1 Data'!$C$15="yes",'#2 Consumption'!$I$35="Only essentials"),'#2 Consumption'!$C$45,IF(AND('#1 Data'!$C$15="Yes",'#2 Consumption'!$I$35="All items"),'#2 Consumption'!$B$45,0))</f>
        <v>0</v>
      </c>
      <c r="L35" s="337"/>
      <c r="M35" s="337"/>
      <c r="N35" s="337"/>
      <c r="O35" s="60"/>
      <c r="Q35"/>
    </row>
    <row r="36" spans="1:17" s="32" customFormat="1" x14ac:dyDescent="0.25">
      <c r="A36" s="60"/>
      <c r="B36" s="92" t="s">
        <v>7</v>
      </c>
      <c r="C36" s="240">
        <v>4.71</v>
      </c>
      <c r="D36" s="241">
        <v>19</v>
      </c>
      <c r="E36" s="188">
        <f t="shared" si="1"/>
        <v>39</v>
      </c>
      <c r="F36" s="215">
        <f t="shared" si="0"/>
        <v>0.93</v>
      </c>
      <c r="G36" s="323"/>
      <c r="H36" s="58">
        <f t="shared" si="2"/>
        <v>1.2124670400000002</v>
      </c>
      <c r="I36" s="58">
        <f t="shared" si="3"/>
        <v>7.2748022400000014</v>
      </c>
      <c r="J36" s="58">
        <f>I36*31</f>
        <v>225.51886944000003</v>
      </c>
      <c r="K36" s="198">
        <f>IF(AND('#1 Data'!$C$15="yes",'#2 Consumption'!$I$35="Only essentials"),'#2 Consumption'!$C$45,IF(AND('#1 Data'!$C$15="Yes",'#2 Consumption'!$I$35="All items"),'#2 Consumption'!$B$45,0))</f>
        <v>0</v>
      </c>
      <c r="L36" s="337"/>
      <c r="M36" s="337"/>
      <c r="N36" s="337"/>
      <c r="O36" s="60"/>
    </row>
    <row r="37" spans="1:17" s="32" customFormat="1" x14ac:dyDescent="0.25">
      <c r="A37" s="60"/>
      <c r="B37" s="92" t="s">
        <v>170</v>
      </c>
      <c r="C37" s="240">
        <v>3.78</v>
      </c>
      <c r="D37" s="241">
        <v>17</v>
      </c>
      <c r="E37" s="188">
        <f t="shared" si="1"/>
        <v>37</v>
      </c>
      <c r="F37" s="215">
        <f t="shared" si="0"/>
        <v>0.94</v>
      </c>
      <c r="G37" s="323"/>
      <c r="H37" s="58">
        <f t="shared" si="2"/>
        <v>0.98352576000000003</v>
      </c>
      <c r="I37" s="58">
        <f t="shared" si="3"/>
        <v>5.9011545600000002</v>
      </c>
      <c r="J37" s="58">
        <f t="shared" si="4"/>
        <v>177.03463680000002</v>
      </c>
      <c r="K37" s="198">
        <f>IF(AND('#1 Data'!$C$15="yes",'#2 Consumption'!$I$35="Only essentials"),'#2 Consumption'!$C$45,IF(AND('#1 Data'!$C$15="Yes",'#2 Consumption'!$I$35="All items"),'#2 Consumption'!$B$45,0))</f>
        <v>0</v>
      </c>
      <c r="L37" s="337"/>
      <c r="M37" s="337"/>
      <c r="N37" s="337"/>
      <c r="O37" s="60"/>
    </row>
    <row r="38" spans="1:17" s="32" customFormat="1" x14ac:dyDescent="0.25">
      <c r="A38" s="60"/>
      <c r="B38" s="92" t="s">
        <v>171</v>
      </c>
      <c r="C38" s="240">
        <v>3.98</v>
      </c>
      <c r="D38" s="241">
        <v>16</v>
      </c>
      <c r="E38" s="188">
        <f t="shared" si="1"/>
        <v>36</v>
      </c>
      <c r="F38" s="215">
        <f t="shared" si="0"/>
        <v>0.94499999999999995</v>
      </c>
      <c r="G38" s="323"/>
      <c r="H38" s="58">
        <f t="shared" si="2"/>
        <v>1.04107248</v>
      </c>
      <c r="I38" s="58">
        <f t="shared" si="3"/>
        <v>6.2464348799999998</v>
      </c>
      <c r="J38" s="58">
        <f>I38*31</f>
        <v>193.63948127999998</v>
      </c>
      <c r="K38" s="198">
        <f>IF(AND('#1 Data'!$C$15="yes",'#2 Consumption'!$I$35="Only essentials"),'#2 Consumption'!$C$45,IF(AND('#1 Data'!$C$15="Yes",'#2 Consumption'!$I$35="All items"),'#2 Consumption'!$B$45,0))</f>
        <v>0</v>
      </c>
      <c r="L38" s="337"/>
      <c r="M38" s="337"/>
      <c r="N38" s="337"/>
      <c r="O38" s="60"/>
      <c r="P38" s="15"/>
    </row>
    <row r="39" spans="1:17" s="32" customFormat="1" x14ac:dyDescent="0.25">
      <c r="A39" s="60"/>
      <c r="B39" s="92" t="s">
        <v>172</v>
      </c>
      <c r="C39" s="240">
        <v>4.8899999999999997</v>
      </c>
      <c r="D39" s="241">
        <v>18</v>
      </c>
      <c r="E39" s="188">
        <f t="shared" si="1"/>
        <v>38</v>
      </c>
      <c r="F39" s="215">
        <f t="shared" si="0"/>
        <v>0.93500000000000005</v>
      </c>
      <c r="G39" s="323"/>
      <c r="H39" s="58">
        <f t="shared" si="2"/>
        <v>1.2655711199999999</v>
      </c>
      <c r="I39" s="58">
        <f t="shared" si="3"/>
        <v>7.5934267200000001</v>
      </c>
      <c r="J39" s="58">
        <f>I39*31</f>
        <v>235.39622832000001</v>
      </c>
      <c r="K39" s="198">
        <f>IF(AND('#1 Data'!$C$15="yes",'#2 Consumption'!$I$35="Only essentials"),'#2 Consumption'!$C$45,IF(AND('#1 Data'!$C$15="Yes",'#2 Consumption'!$I$35="All items"),'#2 Consumption'!$B$45,0))</f>
        <v>0</v>
      </c>
      <c r="L39" s="337"/>
      <c r="M39" s="337"/>
      <c r="N39" s="337"/>
      <c r="O39" s="60"/>
      <c r="P39" s="44"/>
    </row>
    <row r="40" spans="1:17" s="32" customFormat="1" x14ac:dyDescent="0.25">
      <c r="A40" s="60"/>
      <c r="B40" s="92" t="s">
        <v>173</v>
      </c>
      <c r="C40" s="240">
        <v>5.85</v>
      </c>
      <c r="D40" s="241">
        <v>20</v>
      </c>
      <c r="E40" s="188">
        <f t="shared" si="1"/>
        <v>40</v>
      </c>
      <c r="F40" s="215">
        <f t="shared" si="0"/>
        <v>0.92500000000000004</v>
      </c>
      <c r="G40" s="323"/>
      <c r="H40" s="58">
        <f t="shared" si="2"/>
        <v>1.4978340000000001</v>
      </c>
      <c r="I40" s="58">
        <f t="shared" si="3"/>
        <v>8.9870040000000007</v>
      </c>
      <c r="J40" s="58">
        <f t="shared" si="4"/>
        <v>269.61011999999999</v>
      </c>
      <c r="K40" s="198">
        <f>IF(AND('#1 Data'!$C$15="yes",'#2 Consumption'!$I$35="Only essentials"),'#2 Consumption'!$C$45,IF(AND('#1 Data'!$C$15="Yes",'#2 Consumption'!$I$35="All items"),'#2 Consumption'!$B$45,0))</f>
        <v>0</v>
      </c>
      <c r="L40" s="337"/>
      <c r="M40" s="337"/>
      <c r="N40" s="337"/>
      <c r="O40" s="60"/>
    </row>
    <row r="41" spans="1:17" s="32" customFormat="1" x14ac:dyDescent="0.25">
      <c r="A41" s="60"/>
      <c r="B41" s="92" t="s">
        <v>174</v>
      </c>
      <c r="C41" s="240">
        <v>6.13</v>
      </c>
      <c r="D41" s="241">
        <v>23</v>
      </c>
      <c r="E41" s="188">
        <f t="shared" si="1"/>
        <v>43</v>
      </c>
      <c r="F41" s="215">
        <f t="shared" si="0"/>
        <v>0.91</v>
      </c>
      <c r="G41" s="323"/>
      <c r="H41" s="58">
        <f t="shared" si="2"/>
        <v>1.54407344</v>
      </c>
      <c r="I41" s="58">
        <f t="shared" si="3"/>
        <v>9.2644406400000001</v>
      </c>
      <c r="J41" s="58">
        <f>I41*31</f>
        <v>287.19765984000003</v>
      </c>
      <c r="K41" s="198">
        <f>IF(AND('#1 Data'!$C$15="yes",'#2 Consumption'!$I$35="Only essentials"),'#2 Consumption'!$C$45,IF(AND('#1 Data'!$C$15="Yes",'#2 Consumption'!$I$35="All items"),'#2 Consumption'!$B$45,0))</f>
        <v>0</v>
      </c>
      <c r="L41" s="337"/>
      <c r="M41" s="337"/>
      <c r="N41" s="337"/>
      <c r="O41" s="60"/>
    </row>
    <row r="42" spans="1:17" s="32" customFormat="1" x14ac:dyDescent="0.25">
      <c r="A42" s="60"/>
      <c r="B42" s="92" t="s">
        <v>175</v>
      </c>
      <c r="C42" s="240">
        <v>6.57</v>
      </c>
      <c r="D42" s="241">
        <v>26</v>
      </c>
      <c r="E42" s="188">
        <f t="shared" si="1"/>
        <v>46</v>
      </c>
      <c r="F42" s="215">
        <f t="shared" si="0"/>
        <v>0.89500000000000002</v>
      </c>
      <c r="G42" s="323"/>
      <c r="H42" s="58">
        <f t="shared" si="2"/>
        <v>1.6276255200000003</v>
      </c>
      <c r="I42" s="58">
        <f t="shared" si="3"/>
        <v>9.7657531200000012</v>
      </c>
      <c r="J42" s="58">
        <f t="shared" si="4"/>
        <v>292.97259360000004</v>
      </c>
      <c r="K42" s="198">
        <f>IF(AND('#1 Data'!$C$15="yes",'#2 Consumption'!$I$35="Only essentials"),'#2 Consumption'!$C$45,IF(AND('#1 Data'!$C$15="Yes",'#2 Consumption'!$I$35="All items"),'#2 Consumption'!$B$45,0))</f>
        <v>0</v>
      </c>
      <c r="L42" s="337"/>
      <c r="M42" s="337"/>
      <c r="N42" s="337"/>
      <c r="O42" s="60"/>
    </row>
    <row r="43" spans="1:17" s="32" customFormat="1" x14ac:dyDescent="0.25">
      <c r="A43" s="60"/>
      <c r="B43" s="92" t="s">
        <v>176</v>
      </c>
      <c r="C43" s="240">
        <v>6.62</v>
      </c>
      <c r="D43" s="241">
        <v>29</v>
      </c>
      <c r="E43" s="188">
        <f t="shared" si="1"/>
        <v>49</v>
      </c>
      <c r="F43" s="215">
        <f t="shared" si="0"/>
        <v>0.88</v>
      </c>
      <c r="G43" s="323"/>
      <c r="H43" s="58">
        <f t="shared" si="2"/>
        <v>1.6125260800000003</v>
      </c>
      <c r="I43" s="58">
        <f t="shared" si="3"/>
        <v>9.6751564800000018</v>
      </c>
      <c r="J43" s="58">
        <f>I43*31</f>
        <v>299.92985088000006</v>
      </c>
      <c r="K43" s="198">
        <f>IF(AND('#1 Data'!$C$15="yes",'#2 Consumption'!$I$35="Only essentials"),'#2 Consumption'!$C$45,IF(AND('#1 Data'!$C$15="Yes",'#2 Consumption'!$I$35="All items"),'#2 Consumption'!$B$45,0))</f>
        <v>0</v>
      </c>
      <c r="L43" s="337"/>
      <c r="M43" s="337"/>
      <c r="N43" s="337"/>
      <c r="O43" s="60"/>
    </row>
    <row r="44" spans="1:17" s="32" customFormat="1" x14ac:dyDescent="0.25">
      <c r="A44" s="60"/>
      <c r="B44" s="307"/>
      <c r="C44" s="307"/>
      <c r="D44" s="307"/>
      <c r="E44" s="307"/>
      <c r="F44" s="307"/>
      <c r="G44" s="307"/>
      <c r="H44" s="307"/>
      <c r="I44" s="307"/>
      <c r="J44" s="307"/>
      <c r="K44" s="307"/>
      <c r="L44" s="337"/>
      <c r="M44" s="337"/>
      <c r="N44" s="337"/>
      <c r="O44" s="60"/>
    </row>
    <row r="45" spans="1:17" ht="15" customHeight="1" x14ac:dyDescent="0.25">
      <c r="A45" s="60"/>
      <c r="B45" s="325"/>
      <c r="C45" s="325"/>
      <c r="D45" s="325"/>
      <c r="E45" s="325"/>
      <c r="F45" s="325"/>
      <c r="G45" s="325"/>
      <c r="H45" s="325"/>
      <c r="I45" s="325"/>
      <c r="J45" s="325"/>
      <c r="K45" s="325"/>
      <c r="L45" s="337"/>
      <c r="M45" s="337"/>
      <c r="N45" s="337"/>
      <c r="O45" s="60"/>
    </row>
    <row r="46" spans="1:17" s="32" customFormat="1" ht="15" customHeight="1" x14ac:dyDescent="0.25">
      <c r="A46" s="60"/>
      <c r="B46" s="346">
        <f>IF('#1 Data'!C15="Yes","As your system will be out of the electrical grid you should produce in this case as minimum per day (kWh):",0)</f>
        <v>0</v>
      </c>
      <c r="C46" s="346"/>
      <c r="D46" s="344">
        <f>IF(AND('#1 Data'!C15="Yes",'#2 Consumption'!I35="Only essentials"),'#2 Consumption'!C45,IF(AND('#1 Data'!C15="Yes",'#2 Consumption'!I35="All items"),'#2 Consumption'!B45,0))</f>
        <v>0</v>
      </c>
      <c r="E46" s="200"/>
      <c r="F46" s="255"/>
      <c r="G46" s="255"/>
      <c r="H46" s="255"/>
      <c r="I46" s="255"/>
      <c r="J46" s="255"/>
      <c r="K46" s="255"/>
      <c r="L46" s="337"/>
      <c r="M46" s="337"/>
      <c r="N46" s="337"/>
      <c r="O46" s="60"/>
    </row>
    <row r="47" spans="1:17" s="32" customFormat="1" ht="15" customHeight="1" x14ac:dyDescent="0.25">
      <c r="A47" s="60"/>
      <c r="B47" s="347"/>
      <c r="C47" s="347"/>
      <c r="D47" s="344"/>
      <c r="E47" s="201"/>
      <c r="F47" s="255"/>
      <c r="G47" s="255"/>
      <c r="H47" s="255"/>
      <c r="I47" s="255"/>
      <c r="J47" s="255"/>
      <c r="K47" s="255"/>
      <c r="L47" s="337"/>
      <c r="M47" s="337"/>
      <c r="N47" s="337"/>
      <c r="O47" s="60"/>
    </row>
    <row r="48" spans="1:17" s="32" customFormat="1" ht="17.25" customHeight="1" x14ac:dyDescent="0.25">
      <c r="A48" s="60"/>
      <c r="B48" s="347"/>
      <c r="C48" s="347"/>
      <c r="D48" s="345"/>
      <c r="E48" s="201"/>
      <c r="F48" s="255"/>
      <c r="G48" s="255"/>
      <c r="H48" s="255"/>
      <c r="I48" s="255"/>
      <c r="J48" s="255"/>
      <c r="K48" s="255"/>
      <c r="L48" s="337"/>
      <c r="M48" s="337"/>
      <c r="N48" s="337"/>
      <c r="O48" s="60"/>
    </row>
    <row r="49" spans="1:15" s="32" customFormat="1" ht="46.5" customHeight="1" x14ac:dyDescent="0.25">
      <c r="A49" s="60"/>
      <c r="B49" s="302">
        <f>IF('#1 Data'!C15="Yes","The minimum estimated value the solar array will produce per day over the year is (kWh):",0)</f>
        <v>0</v>
      </c>
      <c r="C49" s="302"/>
      <c r="D49" s="202">
        <f>MIN(IF('#1 Data'!C15="Yes",'#4 Solar panel estimation'!I32:I43))</f>
        <v>0</v>
      </c>
      <c r="E49" s="199"/>
      <c r="F49" s="302">
        <f>IF(D49&lt;D46,"The minimum estimated value is minor than what you need; you should consider to reduce your consumption or add more solar panels or add a wind turbine to generate the energy that is needed",0)</f>
        <v>0</v>
      </c>
      <c r="G49" s="302"/>
      <c r="H49" s="302"/>
      <c r="I49" s="302"/>
      <c r="J49" s="302"/>
      <c r="K49" s="302"/>
      <c r="L49" s="337"/>
      <c r="M49" s="337"/>
      <c r="N49" s="337"/>
      <c r="O49" s="60"/>
    </row>
    <row r="50" spans="1:15" s="32" customFormat="1" ht="15" customHeight="1" x14ac:dyDescent="0.25">
      <c r="A50" s="60"/>
      <c r="B50" s="254"/>
      <c r="C50" s="254"/>
      <c r="D50" s="254"/>
      <c r="E50" s="254"/>
      <c r="F50" s="254"/>
      <c r="G50" s="255"/>
      <c r="H50" s="255"/>
      <c r="I50" s="255"/>
      <c r="J50" s="255"/>
      <c r="K50" s="255"/>
      <c r="L50" s="337"/>
      <c r="M50" s="337"/>
      <c r="N50" s="337"/>
      <c r="O50" s="60"/>
    </row>
    <row r="51" spans="1:15" s="32" customFormat="1" ht="46.5" customHeight="1" x14ac:dyDescent="0.25">
      <c r="A51" s="60"/>
      <c r="B51" s="302">
        <f>IF('#1 Data'!C6="Yes","As you are also including a wind turbine in your project, under normal conditions it will produce some energy per day but it will depend on the weather conditions at your selected location",0)</f>
        <v>0</v>
      </c>
      <c r="C51" s="302"/>
      <c r="D51" s="302"/>
      <c r="E51" s="302"/>
      <c r="F51" s="302"/>
      <c r="G51" s="255"/>
      <c r="H51" s="255"/>
      <c r="I51" s="255"/>
      <c r="J51" s="255"/>
      <c r="K51" s="255"/>
      <c r="L51" s="337"/>
      <c r="M51" s="337"/>
      <c r="N51" s="337"/>
      <c r="O51" s="60"/>
    </row>
    <row r="52" spans="1:15" s="32" customFormat="1" ht="30" customHeight="1" x14ac:dyDescent="0.25">
      <c r="A52" s="60"/>
      <c r="B52" s="324" t="s">
        <v>233</v>
      </c>
      <c r="C52" s="324"/>
      <c r="D52" s="203">
        <f>IFERROR(AVERAGEIF(I32:I43,"&gt;0"),0)</f>
        <v>8.570150120000001</v>
      </c>
      <c r="E52" s="185"/>
      <c r="F52" s="8"/>
      <c r="G52" s="255"/>
      <c r="H52" s="255"/>
      <c r="I52" s="255"/>
      <c r="J52" s="255"/>
      <c r="K52" s="255"/>
      <c r="L52" s="337"/>
      <c r="M52" s="337"/>
      <c r="N52" s="337"/>
      <c r="O52" s="60"/>
    </row>
    <row r="53" spans="1:15" s="32" customFormat="1" ht="15" customHeight="1" x14ac:dyDescent="0.25">
      <c r="A53" s="60"/>
      <c r="B53" s="342" t="s">
        <v>231</v>
      </c>
      <c r="C53" s="342"/>
      <c r="D53" s="328">
        <f>AVERAGE(J32:J43)</f>
        <v>260.43673964000004</v>
      </c>
      <c r="E53" s="185"/>
      <c r="F53" s="326" t="s">
        <v>232</v>
      </c>
      <c r="G53" s="328">
        <f>'#2 Consumption'!J42</f>
        <v>216.39932083333335</v>
      </c>
      <c r="H53" s="330"/>
      <c r="I53" s="331"/>
      <c r="J53" s="331"/>
      <c r="K53" s="331"/>
      <c r="L53" s="337"/>
      <c r="M53" s="337"/>
      <c r="N53" s="337"/>
      <c r="O53" s="60"/>
    </row>
    <row r="54" spans="1:15" s="32" customFormat="1" ht="15" customHeight="1" x14ac:dyDescent="0.25">
      <c r="A54" s="60"/>
      <c r="B54" s="342"/>
      <c r="C54" s="342"/>
      <c r="D54" s="343"/>
      <c r="E54" s="186"/>
      <c r="F54" s="327"/>
      <c r="G54" s="329"/>
      <c r="H54" s="330"/>
      <c r="I54" s="331"/>
      <c r="J54" s="331"/>
      <c r="K54" s="331"/>
      <c r="L54" s="337"/>
      <c r="M54" s="337"/>
      <c r="N54" s="337"/>
      <c r="O54" s="60"/>
    </row>
    <row r="55" spans="1:15" s="32" customFormat="1" x14ac:dyDescent="0.25">
      <c r="A55" s="60"/>
      <c r="B55" s="342" t="s">
        <v>243</v>
      </c>
      <c r="C55" s="342"/>
      <c r="D55" s="348">
        <f>SUM(J32:J43)</f>
        <v>3125.2408756800005</v>
      </c>
      <c r="E55" s="187"/>
      <c r="F55" s="349">
        <f>IF('#1 Data'!C6="Yes","Estimated total energy produced annually combining solar &amp; wind (kWh):",0)</f>
        <v>0</v>
      </c>
      <c r="G55" s="349"/>
      <c r="H55" s="349"/>
      <c r="I55" s="349">
        <f>IF(F55="Estimated total energy produced annually combining solar &amp; wind (kWh):",SUM(D55+'#3 Wind turbine estimation'!D39),0)</f>
        <v>0</v>
      </c>
      <c r="J55" s="341"/>
      <c r="K55" s="325"/>
      <c r="L55" s="325"/>
      <c r="M55" s="325"/>
      <c r="N55" s="325"/>
      <c r="O55" s="60"/>
    </row>
    <row r="56" spans="1:15" x14ac:dyDescent="0.25">
      <c r="A56" s="60"/>
      <c r="B56" s="342"/>
      <c r="C56" s="342"/>
      <c r="D56" s="348"/>
      <c r="E56" s="187"/>
      <c r="F56" s="349"/>
      <c r="G56" s="349"/>
      <c r="H56" s="349"/>
      <c r="I56" s="349"/>
      <c r="J56" s="341"/>
      <c r="K56" s="325"/>
      <c r="L56" s="325"/>
      <c r="M56" s="325"/>
      <c r="N56" s="325"/>
      <c r="O56" s="60"/>
    </row>
    <row r="57" spans="1:15" s="32" customFormat="1" x14ac:dyDescent="0.25">
      <c r="A57" s="60"/>
      <c r="B57" s="134"/>
      <c r="C57" s="340"/>
      <c r="D57" s="340"/>
      <c r="E57" s="340"/>
      <c r="F57" s="340"/>
      <c r="G57" s="340"/>
      <c r="H57" s="340"/>
      <c r="I57" s="340"/>
      <c r="J57" s="340"/>
      <c r="K57" s="340"/>
      <c r="L57" s="340"/>
      <c r="M57" s="340"/>
      <c r="N57" s="340"/>
      <c r="O57" s="60"/>
    </row>
    <row r="58" spans="1:15" ht="15.75" x14ac:dyDescent="0.25">
      <c r="A58" s="60"/>
      <c r="B58" s="64" t="s">
        <v>25</v>
      </c>
      <c r="C58" s="340"/>
      <c r="D58" s="340"/>
      <c r="E58" s="340"/>
      <c r="F58" s="340"/>
      <c r="G58" s="340"/>
      <c r="H58" s="340"/>
      <c r="I58" s="340"/>
      <c r="J58" s="340"/>
      <c r="K58" s="340"/>
      <c r="L58" s="340"/>
      <c r="M58" s="340"/>
      <c r="N58" s="340"/>
      <c r="O58" s="60"/>
    </row>
    <row r="59" spans="1:15" ht="15.75" x14ac:dyDescent="0.25">
      <c r="A59" s="60"/>
      <c r="B59" s="304" t="s">
        <v>270</v>
      </c>
      <c r="C59" s="304"/>
      <c r="D59" s="304"/>
      <c r="E59" s="304"/>
      <c r="F59" s="304"/>
      <c r="G59" s="304"/>
      <c r="H59" s="304"/>
      <c r="I59" s="341"/>
      <c r="J59" s="325"/>
      <c r="K59" s="325"/>
      <c r="L59" s="325"/>
      <c r="M59" s="325"/>
      <c r="N59" s="325"/>
      <c r="O59" s="60"/>
    </row>
    <row r="60" spans="1:15" s="32" customFormat="1" ht="15.75" x14ac:dyDescent="0.25">
      <c r="A60" s="60"/>
      <c r="B60" s="252" t="s">
        <v>269</v>
      </c>
      <c r="C60" s="252"/>
      <c r="D60" s="252"/>
      <c r="E60" s="252"/>
      <c r="F60" s="252"/>
      <c r="G60" s="252"/>
      <c r="H60" s="252"/>
      <c r="I60" s="341"/>
      <c r="J60" s="325"/>
      <c r="K60" s="325"/>
      <c r="L60" s="325"/>
      <c r="M60" s="325"/>
      <c r="N60" s="325"/>
      <c r="O60" s="60"/>
    </row>
    <row r="61" spans="1:15" x14ac:dyDescent="0.25">
      <c r="A61" s="60"/>
      <c r="B61" s="61"/>
      <c r="C61" s="61"/>
      <c r="D61" s="61"/>
      <c r="E61" s="61"/>
      <c r="F61" s="61"/>
      <c r="G61" s="61"/>
      <c r="H61" s="61"/>
      <c r="I61" s="61"/>
      <c r="J61" s="61"/>
      <c r="K61" s="61"/>
      <c r="L61" s="60"/>
      <c r="M61" s="60"/>
      <c r="N61" s="60"/>
      <c r="O61" s="60"/>
    </row>
    <row r="63" spans="1:15" x14ac:dyDescent="0.25">
      <c r="C63" s="12"/>
      <c r="D63" s="40"/>
      <c r="E63" s="40"/>
    </row>
    <row r="64" spans="1:15" x14ac:dyDescent="0.25">
      <c r="D64"/>
    </row>
    <row r="65" spans="2:5" x14ac:dyDescent="0.25">
      <c r="D65"/>
    </row>
    <row r="66" spans="2:5" x14ac:dyDescent="0.25">
      <c r="D66"/>
    </row>
    <row r="67" spans="2:5" s="32" customFormat="1" x14ac:dyDescent="0.25"/>
    <row r="70" spans="2:5" x14ac:dyDescent="0.25">
      <c r="B70" s="3"/>
    </row>
    <row r="71" spans="2:5" x14ac:dyDescent="0.25">
      <c r="B71" s="3"/>
    </row>
    <row r="72" spans="2:5" ht="16.5" customHeight="1" x14ac:dyDescent="0.25">
      <c r="B72" s="3"/>
      <c r="C72" s="14"/>
      <c r="D72" s="39"/>
      <c r="E72" s="135"/>
    </row>
    <row r="73" spans="2:5" x14ac:dyDescent="0.25">
      <c r="B73" s="3"/>
      <c r="C73" s="17"/>
      <c r="D73" s="39"/>
      <c r="E73" s="135"/>
    </row>
    <row r="74" spans="2:5" x14ac:dyDescent="0.25">
      <c r="B74" s="3"/>
    </row>
    <row r="83" spans="16:16" x14ac:dyDescent="0.25">
      <c r="P83" s="3"/>
    </row>
  </sheetData>
  <sheetProtection algorithmName="SHA-512" hashValue="Ja127jXh+cOjq/cFnPChMoyaJ3E7zI59v9imKCEKVwJSuaOZYKd9jnM3VdIl74LLThq3CjUsdDYP7S4yQytFQQ==" saltValue="qtZ/WoH4Zp+TD8R3m+BoDg==" spinCount="100000" sheet="1" objects="1" scenarios="1" selectLockedCells="1"/>
  <mergeCells count="54">
    <mergeCell ref="B23:D23"/>
    <mergeCell ref="B25:N27"/>
    <mergeCell ref="B2:D2"/>
    <mergeCell ref="F2:N3"/>
    <mergeCell ref="J4:N11"/>
    <mergeCell ref="B8:I8"/>
    <mergeCell ref="B3:D3"/>
    <mergeCell ref="B11:I11"/>
    <mergeCell ref="B9:I10"/>
    <mergeCell ref="B4:I5"/>
    <mergeCell ref="B6:I7"/>
    <mergeCell ref="B12:C12"/>
    <mergeCell ref="B59:H59"/>
    <mergeCell ref="C57:N58"/>
    <mergeCell ref="I59:N60"/>
    <mergeCell ref="B60:H60"/>
    <mergeCell ref="F46:K48"/>
    <mergeCell ref="B53:C54"/>
    <mergeCell ref="D53:D54"/>
    <mergeCell ref="B55:C56"/>
    <mergeCell ref="D46:D48"/>
    <mergeCell ref="B46:C48"/>
    <mergeCell ref="L53:N54"/>
    <mergeCell ref="J55:N56"/>
    <mergeCell ref="D55:D56"/>
    <mergeCell ref="F55:H56"/>
    <mergeCell ref="I55:I56"/>
    <mergeCell ref="D30:D31"/>
    <mergeCell ref="D12:F18"/>
    <mergeCell ref="B18:C18"/>
    <mergeCell ref="B28:N28"/>
    <mergeCell ref="B19:D19"/>
    <mergeCell ref="B20:D20"/>
    <mergeCell ref="B21:D21"/>
    <mergeCell ref="B22:D22"/>
    <mergeCell ref="B24:D24"/>
    <mergeCell ref="G12:N24"/>
    <mergeCell ref="F30:F31"/>
    <mergeCell ref="B29:N29"/>
    <mergeCell ref="L30:N52"/>
    <mergeCell ref="B30:B31"/>
    <mergeCell ref="C30:C31"/>
    <mergeCell ref="G30:G31"/>
    <mergeCell ref="G32:G43"/>
    <mergeCell ref="B52:C52"/>
    <mergeCell ref="B44:K45"/>
    <mergeCell ref="F49:K49"/>
    <mergeCell ref="F53:F54"/>
    <mergeCell ref="G53:G54"/>
    <mergeCell ref="G50:K52"/>
    <mergeCell ref="B50:F50"/>
    <mergeCell ref="H53:K54"/>
    <mergeCell ref="B51:F51"/>
    <mergeCell ref="B49:C49"/>
  </mergeCells>
  <conditionalFormatting sqref="D49">
    <cfRule type="cellIs" dxfId="17" priority="1" operator="greaterThan">
      <formula>$D$46</formula>
    </cfRule>
    <cfRule type="cellIs" dxfId="16" priority="30" operator="lessThan">
      <formula>$D$46</formula>
    </cfRule>
  </conditionalFormatting>
  <conditionalFormatting sqref="D53:D54">
    <cfRule type="cellIs" dxfId="15" priority="28" operator="greaterThan">
      <formula>$G$53</formula>
    </cfRule>
    <cfRule type="cellIs" dxfId="14" priority="29" operator="lessThan">
      <formula>$G$53</formula>
    </cfRule>
  </conditionalFormatting>
  <conditionalFormatting sqref="K32:K43">
    <cfRule type="cellIs" dxfId="13" priority="15" operator="greaterThan">
      <formula>$I$43</formula>
    </cfRule>
  </conditionalFormatting>
  <conditionalFormatting sqref="K32">
    <cfRule type="cellIs" dxfId="12" priority="12" operator="greaterThan">
      <formula>$I$32</formula>
    </cfRule>
    <cfRule type="cellIs" dxfId="11" priority="14" operator="greaterThan">
      <formula>$I$32</formula>
    </cfRule>
  </conditionalFormatting>
  <conditionalFormatting sqref="K35">
    <cfRule type="cellIs" dxfId="10" priority="13" operator="greaterThan">
      <formula>$I$35</formula>
    </cfRule>
  </conditionalFormatting>
  <conditionalFormatting sqref="K33">
    <cfRule type="cellIs" dxfId="9" priority="11" operator="greaterThan">
      <formula>$I$33</formula>
    </cfRule>
  </conditionalFormatting>
  <conditionalFormatting sqref="K34">
    <cfRule type="cellIs" dxfId="8" priority="10" operator="greaterThan">
      <formula>$I$34</formula>
    </cfRule>
  </conditionalFormatting>
  <conditionalFormatting sqref="K36">
    <cfRule type="cellIs" dxfId="7" priority="9" operator="greaterThan">
      <formula>$I$36</formula>
    </cfRule>
  </conditionalFormatting>
  <conditionalFormatting sqref="K37">
    <cfRule type="cellIs" dxfId="6" priority="8" operator="greaterThan">
      <formula>$I$37</formula>
    </cfRule>
  </conditionalFormatting>
  <conditionalFormatting sqref="K38">
    <cfRule type="cellIs" dxfId="5" priority="7" operator="greaterThan">
      <formula>$I$38</formula>
    </cfRule>
  </conditionalFormatting>
  <conditionalFormatting sqref="K39">
    <cfRule type="cellIs" dxfId="4" priority="6" operator="greaterThan">
      <formula>$I$39</formula>
    </cfRule>
  </conditionalFormatting>
  <conditionalFormatting sqref="K40">
    <cfRule type="cellIs" dxfId="3" priority="5" operator="greaterThan">
      <formula>$I$40</formula>
    </cfRule>
  </conditionalFormatting>
  <conditionalFormatting sqref="K41">
    <cfRule type="cellIs" dxfId="2" priority="4" operator="greaterThan">
      <formula>$I$41</formula>
    </cfRule>
  </conditionalFormatting>
  <conditionalFormatting sqref="K42">
    <cfRule type="cellIs" dxfId="1" priority="3" operator="greaterThan">
      <formula>$I$42</formula>
    </cfRule>
  </conditionalFormatting>
  <conditionalFormatting sqref="K43">
    <cfRule type="cellIs" dxfId="0" priority="2" operator="greaterThan">
      <formula>$I$43</formula>
    </cfRule>
  </conditionalFormatting>
  <pageMargins left="0.7" right="0.7" top="0.75" bottom="0.75" header="0.3" footer="0.3"/>
  <pageSetup paperSize="9" orientation="portrait" r:id="rId1"/>
  <ignoredErrors>
    <ignoredError sqref="G33:G43 G32 I32 I35 I33 I34 I37 I36 I40 I38 I39 I42 I41 I43" evalError="1"/>
    <ignoredError sqref="J33 J36 J41" formula="1"/>
    <ignoredError sqref="J35 J37 J40 J42" evalError="1" formula="1"/>
  </ignoredErrors>
  <legacyDrawing r:id="rId2"/>
  <extLst>
    <ext xmlns:x14="http://schemas.microsoft.com/office/spreadsheetml/2009/9/main" uri="{CCE6A557-97BC-4b89-ADB6-D9C93CAAB3DF}">
      <x14:dataValidations xmlns:xm="http://schemas.microsoft.com/office/excel/2006/main" count="6">
        <x14:dataValidation type="list" showInputMessage="1" showErrorMessage="1" xr:uid="{98B803B3-3EF5-4288-9731-AC129F969562}">
          <x14:formula1>
            <xm:f>'Values &amp; Tables'!$A$14:$A$16</xm:f>
          </x14:formula1>
          <xm:sqref>F24</xm:sqref>
        </x14:dataValidation>
        <x14:dataValidation type="list" allowBlank="1" showInputMessage="1" showErrorMessage="1" xr:uid="{57B3DF89-BB66-4606-BCE7-79F10BD57064}">
          <x14:formula1>
            <xm:f>'Values &amp; Tables'!$D$3:$D$102</xm:f>
          </x14:formula1>
          <xm:sqref>I31</xm:sqref>
        </x14:dataValidation>
        <x14:dataValidation type="list" showInputMessage="1" showErrorMessage="1" xr:uid="{F4C5600D-F5BE-4D13-81B9-4FAA1D776ADC}">
          <x14:formula1>
            <xm:f>'Values &amp; Tables'!$A$17:$A$19</xm:f>
          </x14:formula1>
          <xm:sqref>F19</xm:sqref>
        </x14:dataValidation>
        <x14:dataValidation type="list" showInputMessage="1" showErrorMessage="1" xr:uid="{D5DFC1C3-8275-4905-9002-4CA144578B2B}">
          <x14:formula1>
            <xm:f>'Values &amp; Tables'!$I$2:$I$4</xm:f>
          </x14:formula1>
          <xm:sqref>F23</xm:sqref>
        </x14:dataValidation>
        <x14:dataValidation type="list" showInputMessage="1" showErrorMessage="1" xr:uid="{8D5AFAAA-9CCB-4D3E-B387-CA0609D4489F}">
          <x14:formula1>
            <xm:f>'Values &amp; Tables'!$F$94:$F$164</xm:f>
          </x14:formula1>
          <xm:sqref>F21</xm:sqref>
        </x14:dataValidation>
        <x14:dataValidation type="list" showInputMessage="1" showErrorMessage="1" xr:uid="{BE9A7B43-524E-447E-BFAF-C3C9B0833EE1}">
          <x14:formula1>
            <xm:f>'Values &amp; Tables'!$M$14:$M$65</xm:f>
          </x14:formula1>
          <xm:sqref>D32:D43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86B72-2013-469E-BFC9-4B78C56ED96C}">
  <dimension ref="A1:K58"/>
  <sheetViews>
    <sheetView topLeftCell="A7" zoomScale="90" zoomScaleNormal="90" workbookViewId="0">
      <selection activeCell="C23" sqref="C23"/>
    </sheetView>
  </sheetViews>
  <sheetFormatPr defaultRowHeight="15" x14ac:dyDescent="0.25"/>
  <cols>
    <col min="1" max="1" width="2.7109375" style="32" customWidth="1"/>
    <col min="2" max="2" width="42.42578125" customWidth="1"/>
    <col min="3" max="3" width="17.5703125" customWidth="1"/>
    <col min="5" max="5" width="5.85546875" customWidth="1"/>
    <col min="10" max="10" width="39.140625" customWidth="1"/>
    <col min="11" max="11" width="2.5703125" customWidth="1"/>
  </cols>
  <sheetData>
    <row r="1" spans="1:11" s="32" customFormat="1" x14ac:dyDescent="0.25">
      <c r="A1" s="60"/>
      <c r="B1" s="60"/>
      <c r="C1" s="60"/>
      <c r="D1" s="60"/>
      <c r="E1" s="60"/>
      <c r="F1" s="60"/>
      <c r="G1" s="60"/>
      <c r="H1" s="60"/>
      <c r="I1" s="60"/>
      <c r="J1" s="60"/>
      <c r="K1" s="60"/>
    </row>
    <row r="2" spans="1:11" s="32" customFormat="1" x14ac:dyDescent="0.25">
      <c r="A2" s="60"/>
      <c r="B2" s="278" t="s">
        <v>229</v>
      </c>
      <c r="C2" s="278"/>
      <c r="D2" s="309"/>
      <c r="E2" s="309"/>
      <c r="F2" s="309"/>
      <c r="G2" s="309"/>
      <c r="H2" s="309"/>
      <c r="I2" s="309"/>
      <c r="J2" s="309"/>
      <c r="K2" s="60"/>
    </row>
    <row r="3" spans="1:11" s="32" customFormat="1" x14ac:dyDescent="0.25">
      <c r="A3" s="60"/>
      <c r="B3" s="278"/>
      <c r="C3" s="278"/>
      <c r="D3" s="309"/>
      <c r="E3" s="309"/>
      <c r="F3" s="309"/>
      <c r="G3" s="309"/>
      <c r="H3" s="309"/>
      <c r="I3" s="309"/>
      <c r="J3" s="309"/>
      <c r="K3" s="60"/>
    </row>
    <row r="4" spans="1:11" s="32" customFormat="1" x14ac:dyDescent="0.25">
      <c r="A4" s="60"/>
      <c r="B4" s="333"/>
      <c r="C4" s="333"/>
      <c r="D4" s="309"/>
      <c r="E4" s="309"/>
      <c r="F4" s="309"/>
      <c r="G4" s="309"/>
      <c r="H4" s="309"/>
      <c r="I4" s="309"/>
      <c r="J4" s="309"/>
      <c r="K4" s="60"/>
    </row>
    <row r="5" spans="1:11" s="32" customFormat="1" ht="15" customHeight="1" x14ac:dyDescent="0.25">
      <c r="A5" s="60"/>
      <c r="B5" s="286" t="s">
        <v>226</v>
      </c>
      <c r="C5" s="286"/>
      <c r="D5" s="309"/>
      <c r="E5" s="309"/>
      <c r="F5" s="309"/>
      <c r="G5" s="309"/>
      <c r="H5" s="309"/>
      <c r="I5" s="309"/>
      <c r="J5" s="309"/>
      <c r="K5" s="60"/>
    </row>
    <row r="6" spans="1:11" s="32" customFormat="1" ht="15" customHeight="1" x14ac:dyDescent="0.25">
      <c r="A6" s="60"/>
      <c r="B6" s="286"/>
      <c r="C6" s="286"/>
      <c r="D6" s="309"/>
      <c r="E6" s="309"/>
      <c r="F6" s="309"/>
      <c r="G6" s="309"/>
      <c r="H6" s="309"/>
      <c r="I6" s="309"/>
      <c r="J6" s="309"/>
      <c r="K6" s="60"/>
    </row>
    <row r="7" spans="1:11" x14ac:dyDescent="0.25">
      <c r="A7" s="60"/>
      <c r="B7" s="333"/>
      <c r="C7" s="333"/>
      <c r="D7" s="309"/>
      <c r="E7" s="309"/>
      <c r="F7" s="309"/>
      <c r="G7" s="309"/>
      <c r="H7" s="309"/>
      <c r="I7" s="309"/>
      <c r="J7" s="309"/>
      <c r="K7" s="60"/>
    </row>
    <row r="8" spans="1:11" ht="15.75" x14ac:dyDescent="0.25">
      <c r="A8" s="60"/>
      <c r="B8" s="252" t="s">
        <v>280</v>
      </c>
      <c r="C8" s="252"/>
      <c r="D8" s="309"/>
      <c r="E8" s="309"/>
      <c r="F8" s="309"/>
      <c r="G8" s="309"/>
      <c r="H8" s="309"/>
      <c r="I8" s="309"/>
      <c r="J8" s="309"/>
      <c r="K8" s="60"/>
    </row>
    <row r="9" spans="1:11" s="32" customFormat="1" ht="15.75" x14ac:dyDescent="0.25">
      <c r="A9" s="60"/>
      <c r="B9" s="64" t="s">
        <v>133</v>
      </c>
      <c r="C9" s="55">
        <f>IF('#2 Consumption'!I35="Only essentials",SUMIFS('#2 Consumption'!E8:E33,'#2 Consumption'!I8:I33,"Yes",'#2 Consumption'!J8:J33,"Yes"),IF('#2 Consumption'!I35="All items",SUMIFS('#2 Consumption'!E8:E33,'#2 Consumption'!J8:J33,"Yes"),0))</f>
        <v>2160</v>
      </c>
      <c r="D9" s="309"/>
      <c r="E9" s="309"/>
      <c r="F9" s="309"/>
      <c r="G9" s="309"/>
      <c r="H9" s="309"/>
      <c r="I9" s="309"/>
      <c r="J9" s="309"/>
      <c r="K9" s="60"/>
    </row>
    <row r="10" spans="1:11" s="32" customFormat="1" ht="15.75" x14ac:dyDescent="0.25">
      <c r="A10" s="60"/>
      <c r="B10" s="64" t="s">
        <v>135</v>
      </c>
      <c r="C10" s="55">
        <f>C9*25/100</f>
        <v>540</v>
      </c>
      <c r="D10" s="309"/>
      <c r="E10" s="309"/>
      <c r="F10" s="309"/>
      <c r="G10" s="309"/>
      <c r="H10" s="309"/>
      <c r="I10" s="309"/>
      <c r="J10" s="309"/>
      <c r="K10" s="60"/>
    </row>
    <row r="11" spans="1:11" s="32" customFormat="1" ht="15.75" x14ac:dyDescent="0.25">
      <c r="A11" s="60"/>
      <c r="B11" s="64" t="s">
        <v>134</v>
      </c>
      <c r="C11" s="189">
        <f>SUM(C9:C10)</f>
        <v>2700</v>
      </c>
      <c r="D11" s="309"/>
      <c r="E11" s="309"/>
      <c r="F11" s="309"/>
      <c r="G11" s="309"/>
      <c r="H11" s="309"/>
      <c r="I11" s="309"/>
      <c r="J11" s="309"/>
      <c r="K11" s="60"/>
    </row>
    <row r="12" spans="1:11" s="32" customFormat="1" x14ac:dyDescent="0.25">
      <c r="A12" s="60"/>
      <c r="B12"/>
      <c r="C12"/>
      <c r="D12" s="309"/>
      <c r="E12" s="309"/>
      <c r="F12" s="309"/>
      <c r="G12" s="309"/>
      <c r="H12" s="309"/>
      <c r="I12" s="309"/>
      <c r="J12" s="309"/>
      <c r="K12" s="60"/>
    </row>
    <row r="13" spans="1:11" s="32" customFormat="1" ht="15.75" x14ac:dyDescent="0.25">
      <c r="A13" s="60"/>
      <c r="B13" s="100" t="s">
        <v>239</v>
      </c>
      <c r="C13" s="243">
        <v>24</v>
      </c>
      <c r="D13" s="309"/>
      <c r="E13" s="309"/>
      <c r="F13" s="309"/>
      <c r="G13" s="309"/>
      <c r="H13" s="309"/>
      <c r="I13" s="309"/>
      <c r="J13" s="309"/>
      <c r="K13" s="60"/>
    </row>
    <row r="14" spans="1:11" s="32" customFormat="1" x14ac:dyDescent="0.25">
      <c r="A14" s="60"/>
      <c r="B14" s="6"/>
      <c r="C14" s="6"/>
      <c r="D14" s="309"/>
      <c r="E14" s="309"/>
      <c r="F14" s="309"/>
      <c r="G14" s="309"/>
      <c r="H14" s="309"/>
      <c r="I14" s="309"/>
      <c r="J14" s="309"/>
      <c r="K14" s="60"/>
    </row>
    <row r="15" spans="1:11" s="32" customFormat="1" x14ac:dyDescent="0.25">
      <c r="A15" s="60"/>
      <c r="B15" s="306" t="s">
        <v>275</v>
      </c>
      <c r="C15" s="363" t="s">
        <v>276</v>
      </c>
      <c r="D15" s="309"/>
      <c r="E15" s="309"/>
      <c r="F15" s="309"/>
      <c r="G15" s="309"/>
      <c r="H15" s="309"/>
      <c r="I15" s="309"/>
      <c r="J15" s="309"/>
      <c r="K15" s="60"/>
    </row>
    <row r="16" spans="1:11" s="32" customFormat="1" x14ac:dyDescent="0.25">
      <c r="A16" s="60"/>
      <c r="B16" s="306"/>
      <c r="C16" s="363"/>
      <c r="D16" s="309"/>
      <c r="E16" s="309"/>
      <c r="F16" s="309"/>
      <c r="G16" s="309"/>
      <c r="H16" s="309"/>
      <c r="I16" s="309"/>
      <c r="J16" s="309"/>
      <c r="K16" s="60"/>
    </row>
    <row r="17" spans="1:11" s="32" customFormat="1" x14ac:dyDescent="0.25">
      <c r="A17" s="60"/>
      <c r="B17" s="8"/>
      <c r="C17" s="8"/>
      <c r="D17" s="309"/>
      <c r="E17" s="309"/>
      <c r="F17" s="309"/>
      <c r="G17" s="309"/>
      <c r="H17" s="309"/>
      <c r="I17" s="309"/>
      <c r="J17" s="309"/>
      <c r="K17" s="60"/>
    </row>
    <row r="18" spans="1:11" s="32" customFormat="1" ht="15" hidden="1" customHeight="1" x14ac:dyDescent="0.25">
      <c r="A18" s="60"/>
      <c r="B18" s="228" t="s">
        <v>279</v>
      </c>
      <c r="C18" s="8">
        <f>IF('#4 Solar panel estimation'!F23="Series",'#4 Solar panel estimation'!C17*'#4 Solar panel estimation'!I31,'#4 Solar panel estimation'!C17)</f>
        <v>45.15</v>
      </c>
      <c r="D18" s="309"/>
      <c r="E18" s="309"/>
      <c r="F18" s="309"/>
      <c r="G18" s="309"/>
      <c r="H18" s="309"/>
      <c r="I18" s="309"/>
      <c r="J18" s="309"/>
      <c r="K18" s="60"/>
    </row>
    <row r="19" spans="1:11" s="32" customFormat="1" x14ac:dyDescent="0.25">
      <c r="A19" s="60"/>
      <c r="B19" s="8"/>
      <c r="C19" s="8"/>
      <c r="D19" s="309"/>
      <c r="E19" s="309"/>
      <c r="F19" s="309"/>
      <c r="G19" s="309"/>
      <c r="H19" s="309"/>
      <c r="I19" s="309"/>
      <c r="J19" s="309"/>
      <c r="K19" s="60"/>
    </row>
    <row r="20" spans="1:11" s="32" customFormat="1" ht="15.75" x14ac:dyDescent="0.25">
      <c r="A20" s="60"/>
      <c r="B20" s="252" t="s">
        <v>180</v>
      </c>
      <c r="C20" s="252"/>
      <c r="D20" s="309"/>
      <c r="E20" s="309"/>
      <c r="F20" s="309"/>
      <c r="G20" s="309"/>
      <c r="H20" s="309"/>
      <c r="I20" s="309"/>
      <c r="J20" s="309"/>
      <c r="K20" s="60"/>
    </row>
    <row r="21" spans="1:11" ht="15.75" x14ac:dyDescent="0.25">
      <c r="A21" s="60"/>
      <c r="B21" s="64" t="s">
        <v>27</v>
      </c>
      <c r="C21" s="182" t="s">
        <v>240</v>
      </c>
      <c r="D21" s="309"/>
      <c r="E21" s="309"/>
      <c r="F21" s="309"/>
      <c r="G21" s="309"/>
      <c r="H21" s="309"/>
      <c r="I21" s="309"/>
      <c r="J21" s="309"/>
      <c r="K21" s="60"/>
    </row>
    <row r="22" spans="1:11" ht="15.75" x14ac:dyDescent="0.25">
      <c r="A22" s="60"/>
      <c r="B22" s="64" t="s">
        <v>146</v>
      </c>
      <c r="C22" s="140">
        <v>3000</v>
      </c>
      <c r="D22" s="361">
        <f>IF(AND(C22&lt;&gt;0,C22&lt;C11),"Error, the continuous power should be higher than the minimum power needed (detailed in cell C12)",0)</f>
        <v>0</v>
      </c>
      <c r="E22" s="361"/>
      <c r="F22" s="361"/>
      <c r="G22" s="361"/>
      <c r="H22" s="361"/>
      <c r="I22" s="361"/>
      <c r="J22" s="361"/>
      <c r="K22" s="60"/>
    </row>
    <row r="23" spans="1:11" ht="15.75" x14ac:dyDescent="0.25">
      <c r="A23" s="60"/>
      <c r="B23" s="64" t="s">
        <v>147</v>
      </c>
      <c r="C23" s="140">
        <v>6000</v>
      </c>
      <c r="D23" s="359"/>
      <c r="E23" s="360"/>
      <c r="F23" s="360"/>
      <c r="G23" s="360"/>
      <c r="H23" s="360"/>
      <c r="I23" s="360"/>
      <c r="J23" s="360"/>
      <c r="K23" s="60"/>
    </row>
    <row r="24" spans="1:11" ht="15.75" x14ac:dyDescent="0.25">
      <c r="A24" s="60"/>
      <c r="B24" s="64" t="s">
        <v>278</v>
      </c>
      <c r="C24" s="244">
        <v>500</v>
      </c>
      <c r="D24" s="349">
        <f>IF(AND(C24&lt;&gt;0,C24&lt;C18,C15="Just to sell it to the grid",'#4 Solar panel estimation'!F23="Series"),"Error, the input voltage of your inverter should be higher than the voltage coming from the solar array",0)</f>
        <v>0</v>
      </c>
      <c r="E24" s="349"/>
      <c r="F24" s="349"/>
      <c r="G24" s="349"/>
      <c r="H24" s="349"/>
      <c r="I24" s="349"/>
      <c r="J24" s="349"/>
      <c r="K24" s="60"/>
    </row>
    <row r="25" spans="1:11" s="32" customFormat="1" ht="15.75" x14ac:dyDescent="0.25">
      <c r="A25" s="60"/>
      <c r="B25" s="64" t="s">
        <v>148</v>
      </c>
      <c r="C25" s="140">
        <v>220</v>
      </c>
      <c r="D25" s="356"/>
      <c r="E25" s="356"/>
      <c r="F25" s="356"/>
      <c r="G25" s="356"/>
      <c r="H25" s="356"/>
      <c r="I25" s="356"/>
      <c r="J25" s="356"/>
      <c r="K25" s="60"/>
    </row>
    <row r="26" spans="1:11" x14ac:dyDescent="0.25">
      <c r="A26" s="60"/>
      <c r="B26" s="318"/>
      <c r="C26" s="318"/>
      <c r="D26" s="357"/>
      <c r="E26" s="357"/>
      <c r="F26" s="357"/>
      <c r="G26" s="357"/>
      <c r="H26" s="357"/>
      <c r="I26" s="357"/>
      <c r="J26" s="357"/>
      <c r="K26" s="60"/>
    </row>
    <row r="27" spans="1:11" ht="15.75" x14ac:dyDescent="0.25">
      <c r="A27" s="60"/>
      <c r="B27" s="252" t="s">
        <v>35</v>
      </c>
      <c r="C27" s="252"/>
      <c r="D27" s="357"/>
      <c r="E27" s="357"/>
      <c r="F27" s="357"/>
      <c r="G27" s="357"/>
      <c r="H27" s="357"/>
      <c r="I27" s="357"/>
      <c r="J27" s="357"/>
      <c r="K27" s="60"/>
    </row>
    <row r="28" spans="1:11" ht="15.75" x14ac:dyDescent="0.25">
      <c r="A28" s="60"/>
      <c r="B28" s="64" t="s">
        <v>27</v>
      </c>
      <c r="C28" s="183"/>
      <c r="D28" s="358"/>
      <c r="E28" s="358"/>
      <c r="F28" s="358"/>
      <c r="G28" s="358"/>
      <c r="H28" s="358"/>
      <c r="I28" s="358"/>
      <c r="J28" s="358"/>
      <c r="K28" s="60"/>
    </row>
    <row r="29" spans="1:11" ht="30" customHeight="1" x14ac:dyDescent="0.25">
      <c r="A29" s="60"/>
      <c r="B29" s="209" t="s">
        <v>234</v>
      </c>
      <c r="C29" s="182"/>
      <c r="D29" s="362">
        <f>IF(AND(C29&lt;&gt;0,C29&lt;'#7 Cables, ground and others'!C10),"Error, the regulator input CC should be as minimum as the short-circuit current from the solar panels, check Sheet #7",0)</f>
        <v>0</v>
      </c>
      <c r="E29" s="362"/>
      <c r="F29" s="362"/>
      <c r="G29" s="362"/>
      <c r="H29" s="362"/>
      <c r="I29" s="362"/>
      <c r="J29" s="362"/>
      <c r="K29" s="60"/>
    </row>
    <row r="30" spans="1:11" ht="15.75" x14ac:dyDescent="0.25">
      <c r="A30" s="60"/>
      <c r="B30" s="64" t="s">
        <v>108</v>
      </c>
      <c r="C30" s="140"/>
      <c r="D30" s="361">
        <f>IF(AND(C30&lt;&gt;0,C30&lt;&gt;C13),"Error, the regulator tension should be the same as the system tension",0)</f>
        <v>0</v>
      </c>
      <c r="E30" s="361"/>
      <c r="F30" s="361"/>
      <c r="G30" s="361"/>
      <c r="H30" s="361"/>
      <c r="I30" s="361"/>
      <c r="J30" s="361"/>
      <c r="K30" s="60"/>
    </row>
    <row r="31" spans="1:11" x14ac:dyDescent="0.25">
      <c r="A31" s="60"/>
      <c r="B31" s="60"/>
      <c r="C31" s="60"/>
      <c r="D31" s="60"/>
      <c r="E31" s="60"/>
      <c r="F31" s="60"/>
      <c r="G31" s="60"/>
      <c r="H31" s="60"/>
      <c r="I31" s="60"/>
      <c r="J31" s="60"/>
      <c r="K31" s="60"/>
    </row>
    <row r="32" spans="1:11" x14ac:dyDescent="0.25">
      <c r="F32" s="35"/>
      <c r="G32" s="35"/>
      <c r="H32" s="35"/>
    </row>
    <row r="33" spans="3:8" x14ac:dyDescent="0.25">
      <c r="F33" s="35"/>
      <c r="G33" s="35"/>
      <c r="H33" s="35"/>
    </row>
    <row r="34" spans="3:8" s="32" customFormat="1" ht="15" customHeight="1" x14ac:dyDescent="0.25">
      <c r="C34" s="18"/>
      <c r="D34" s="19"/>
      <c r="E34" s="20"/>
      <c r="F34" s="35"/>
      <c r="G34" s="35"/>
      <c r="H34" s="35"/>
    </row>
    <row r="35" spans="3:8" s="32" customFormat="1" x14ac:dyDescent="0.25">
      <c r="D35"/>
      <c r="E35"/>
      <c r="F35"/>
      <c r="G35"/>
      <c r="H35"/>
    </row>
    <row r="36" spans="3:8" s="32" customFormat="1" ht="30" customHeight="1" x14ac:dyDescent="0.25">
      <c r="D36"/>
      <c r="E36"/>
      <c r="F36"/>
      <c r="G36"/>
      <c r="H36"/>
    </row>
    <row r="37" spans="3:8" s="32" customFormat="1" x14ac:dyDescent="0.25">
      <c r="D37"/>
      <c r="E37"/>
      <c r="F37"/>
      <c r="G37"/>
      <c r="H37"/>
    </row>
    <row r="38" spans="3:8" s="32" customFormat="1" x14ac:dyDescent="0.25"/>
    <row r="40" spans="3:8" s="32" customFormat="1" x14ac:dyDescent="0.25"/>
    <row r="44" spans="3:8" s="32" customFormat="1" x14ac:dyDescent="0.25"/>
    <row r="45" spans="3:8" s="32" customFormat="1" ht="7.5" hidden="1" customHeight="1" x14ac:dyDescent="0.25"/>
    <row r="46" spans="3:8" s="32" customFormat="1" x14ac:dyDescent="0.25"/>
    <row r="48" spans="3:8" s="32" customFormat="1" x14ac:dyDescent="0.25"/>
    <row r="50" spans="3:8" ht="15" customHeight="1" x14ac:dyDescent="0.25"/>
    <row r="51" spans="3:8" s="32" customFormat="1" x14ac:dyDescent="0.25"/>
    <row r="52" spans="3:8" s="32" customFormat="1" x14ac:dyDescent="0.25"/>
    <row r="53" spans="3:8" s="32" customFormat="1" x14ac:dyDescent="0.25"/>
    <row r="56" spans="3:8" ht="15" customHeight="1" x14ac:dyDescent="0.25">
      <c r="C56" s="42"/>
      <c r="D56" s="41"/>
      <c r="E56" s="41"/>
      <c r="F56" s="41"/>
      <c r="G56" s="41"/>
      <c r="H56" s="41"/>
    </row>
    <row r="57" spans="3:8" x14ac:dyDescent="0.25">
      <c r="C57" s="42"/>
      <c r="D57" s="41"/>
      <c r="E57" s="41"/>
      <c r="F57" s="41"/>
      <c r="G57" s="41"/>
      <c r="H57" s="41"/>
    </row>
    <row r="58" spans="3:8" x14ac:dyDescent="0.25">
      <c r="C58" s="11"/>
    </row>
  </sheetData>
  <sheetProtection algorithmName="SHA-512" hashValue="acpHQE5zte5QsoZDq8/GG/o/vggp3dbpN6BucqybwRyjapEAWWdBGEjmH74yGXQV8eyeNiNp3rt8I/pGcOMeyQ==" saltValue="avrEtH2Ernxq6cyN2V7yeg==" spinCount="100000" sheet="1" objects="1" scenarios="1" selectLockedCells="1"/>
  <mergeCells count="17">
    <mergeCell ref="D30:J30"/>
    <mergeCell ref="B5:C6"/>
    <mergeCell ref="B7:C7"/>
    <mergeCell ref="B26:C26"/>
    <mergeCell ref="B8:C8"/>
    <mergeCell ref="B20:C20"/>
    <mergeCell ref="B27:C27"/>
    <mergeCell ref="D29:J29"/>
    <mergeCell ref="D22:J22"/>
    <mergeCell ref="B15:B16"/>
    <mergeCell ref="C15:C16"/>
    <mergeCell ref="D24:J24"/>
    <mergeCell ref="D25:J28"/>
    <mergeCell ref="D23:J23"/>
    <mergeCell ref="B2:C3"/>
    <mergeCell ref="D2:J21"/>
    <mergeCell ref="B4:C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E836489D-A677-44A8-95AE-EA67B1D5BF25}">
          <x14:formula1>
            <xm:f>'Values &amp; Tables'!$C$15:$C$18</xm:f>
          </x14:formula1>
          <xm:sqref>C30 C13</xm:sqref>
        </x14:dataValidation>
        <x14:dataValidation type="list" showInputMessage="1" showErrorMessage="1" xr:uid="{3DCD6C2C-F83B-49BB-91A9-D0FEEE36C0F0}">
          <x14:formula1>
            <xm:f>'Values &amp; Tables'!$N$1:$N$3</xm:f>
          </x14:formula1>
          <xm:sqref>C15:C16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1EA1-9477-4AA1-8688-20EA3B050021}">
  <dimension ref="A1:Q34"/>
  <sheetViews>
    <sheetView topLeftCell="A9" zoomScale="90" zoomScaleNormal="90" workbookViewId="0">
      <selection activeCell="C18" sqref="C18"/>
    </sheetView>
  </sheetViews>
  <sheetFormatPr defaultRowHeight="15" x14ac:dyDescent="0.25"/>
  <cols>
    <col min="1" max="1" width="2.7109375" style="32" customWidth="1"/>
    <col min="2" max="2" width="27.85546875" customWidth="1"/>
    <col min="3" max="3" width="12.42578125" customWidth="1"/>
    <col min="4" max="4" width="11.28515625" customWidth="1"/>
    <col min="5" max="5" width="21.5703125" bestFit="1" customWidth="1"/>
    <col min="6" max="6" width="17.42578125" customWidth="1"/>
    <col min="7" max="7" width="12.140625" customWidth="1"/>
    <col min="9" max="9" width="3.5703125" customWidth="1"/>
  </cols>
  <sheetData>
    <row r="1" spans="1:9" s="32" customFormat="1" x14ac:dyDescent="0.25">
      <c r="A1" s="60"/>
      <c r="B1" s="60"/>
      <c r="C1" s="60"/>
      <c r="D1" s="60"/>
      <c r="E1" s="60"/>
      <c r="F1" s="60"/>
      <c r="G1" s="60"/>
      <c r="H1" s="60"/>
      <c r="I1" s="60"/>
    </row>
    <row r="2" spans="1:9" ht="15" customHeight="1" x14ac:dyDescent="0.25">
      <c r="A2" s="60"/>
      <c r="B2" s="278" t="s">
        <v>29</v>
      </c>
      <c r="C2" s="278"/>
      <c r="D2" s="278"/>
      <c r="E2" s="278"/>
      <c r="F2" s="309"/>
      <c r="G2" s="309"/>
      <c r="H2" s="309"/>
      <c r="I2" s="60"/>
    </row>
    <row r="3" spans="1:9" ht="15" customHeight="1" x14ac:dyDescent="0.25">
      <c r="A3" s="60"/>
      <c r="B3" s="278"/>
      <c r="C3" s="278"/>
      <c r="D3" s="278"/>
      <c r="E3" s="278"/>
      <c r="F3" s="309"/>
      <c r="G3" s="309"/>
      <c r="H3" s="309"/>
      <c r="I3" s="60"/>
    </row>
    <row r="4" spans="1:9" s="32" customFormat="1" ht="15" customHeight="1" x14ac:dyDescent="0.25">
      <c r="A4" s="60"/>
      <c r="B4" s="352"/>
      <c r="C4" s="352"/>
      <c r="D4" s="352"/>
      <c r="E4" s="352"/>
      <c r="F4" s="309"/>
      <c r="G4" s="309"/>
      <c r="H4" s="309"/>
      <c r="I4" s="60"/>
    </row>
    <row r="5" spans="1:9" s="32" customFormat="1" x14ac:dyDescent="0.25">
      <c r="A5" s="60"/>
      <c r="B5" s="369">
        <f>IF('#1 Data'!C14="no","As your system does not need energy storage you should skip this sheet",0)</f>
        <v>0</v>
      </c>
      <c r="C5" s="369"/>
      <c r="D5" s="369"/>
      <c r="E5" s="369"/>
      <c r="F5" s="369"/>
      <c r="G5" s="369"/>
      <c r="H5" s="369"/>
      <c r="I5" s="60"/>
    </row>
    <row r="6" spans="1:9" s="32" customFormat="1" x14ac:dyDescent="0.25">
      <c r="A6" s="60"/>
      <c r="B6" s="369"/>
      <c r="C6" s="369"/>
      <c r="D6" s="369"/>
      <c r="E6" s="369"/>
      <c r="F6" s="369"/>
      <c r="G6" s="369"/>
      <c r="H6" s="369"/>
      <c r="I6" s="60"/>
    </row>
    <row r="7" spans="1:9" s="32" customFormat="1" ht="15" customHeight="1" x14ac:dyDescent="0.25">
      <c r="A7" s="60"/>
      <c r="B7" s="371"/>
      <c r="C7" s="371"/>
      <c r="D7" s="371"/>
      <c r="E7" s="371"/>
      <c r="F7" s="371"/>
      <c r="G7" s="371"/>
      <c r="H7" s="371"/>
      <c r="I7" s="60"/>
    </row>
    <row r="8" spans="1:9" s="32" customFormat="1" ht="16.5" customHeight="1" x14ac:dyDescent="0.25">
      <c r="A8" s="60"/>
      <c r="B8" s="370" t="s">
        <v>203</v>
      </c>
      <c r="C8" s="370"/>
      <c r="D8" s="370"/>
      <c r="E8" s="370"/>
      <c r="F8" s="370"/>
      <c r="G8" s="370"/>
      <c r="H8" s="370"/>
      <c r="I8" s="60"/>
    </row>
    <row r="9" spans="1:9" s="32" customFormat="1" ht="18" customHeight="1" x14ac:dyDescent="0.25">
      <c r="A9" s="60"/>
      <c r="B9" s="370"/>
      <c r="C9" s="370"/>
      <c r="D9" s="370"/>
      <c r="E9" s="370"/>
      <c r="F9" s="370"/>
      <c r="G9" s="370"/>
      <c r="H9" s="370"/>
      <c r="I9" s="60"/>
    </row>
    <row r="10" spans="1:9" s="32" customFormat="1" ht="15" customHeight="1" x14ac:dyDescent="0.25">
      <c r="A10" s="60"/>
      <c r="B10" s="371"/>
      <c r="C10" s="371"/>
      <c r="D10" s="371"/>
      <c r="E10" s="371"/>
      <c r="F10" s="371"/>
      <c r="G10" s="371"/>
      <c r="H10" s="371"/>
      <c r="I10" s="60"/>
    </row>
    <row r="11" spans="1:9" s="32" customFormat="1" ht="15.75" x14ac:dyDescent="0.25">
      <c r="A11" s="60"/>
      <c r="B11" s="252" t="s">
        <v>177</v>
      </c>
      <c r="C11" s="252"/>
      <c r="D11" s="309"/>
      <c r="E11" s="309"/>
      <c r="F11" s="309"/>
      <c r="G11" s="309"/>
      <c r="H11" s="309"/>
      <c r="I11" s="60"/>
    </row>
    <row r="12" spans="1:9" s="32" customFormat="1" ht="15.75" x14ac:dyDescent="0.25">
      <c r="A12" s="60"/>
      <c r="B12" s="64" t="s">
        <v>27</v>
      </c>
      <c r="C12" s="140" t="s">
        <v>240</v>
      </c>
      <c r="D12" s="309"/>
      <c r="E12" s="309"/>
      <c r="F12" s="309"/>
      <c r="G12" s="309"/>
      <c r="H12" s="309"/>
      <c r="I12" s="60"/>
    </row>
    <row r="13" spans="1:9" s="32" customFormat="1" ht="15.75" x14ac:dyDescent="0.25">
      <c r="A13" s="60"/>
      <c r="B13" s="64" t="s">
        <v>142</v>
      </c>
      <c r="C13" s="140">
        <v>225</v>
      </c>
      <c r="D13" s="309"/>
      <c r="E13" s="309"/>
      <c r="F13" s="309"/>
      <c r="G13" s="309"/>
      <c r="H13" s="309"/>
      <c r="I13" s="60"/>
    </row>
    <row r="14" spans="1:9" s="32" customFormat="1" ht="15.75" x14ac:dyDescent="0.25">
      <c r="A14" s="60"/>
      <c r="B14" s="64" t="s">
        <v>143</v>
      </c>
      <c r="C14" s="140">
        <v>12</v>
      </c>
      <c r="D14" s="309"/>
      <c r="E14" s="309"/>
      <c r="F14" s="309"/>
      <c r="G14" s="309"/>
      <c r="H14" s="309"/>
      <c r="I14" s="60"/>
    </row>
    <row r="15" spans="1:9" s="32" customFormat="1" x14ac:dyDescent="0.25">
      <c r="A15" s="60"/>
      <c r="B15" s="318"/>
      <c r="C15" s="318"/>
      <c r="D15" s="309"/>
      <c r="E15" s="309"/>
      <c r="F15" s="309"/>
      <c r="G15" s="309"/>
      <c r="H15" s="309"/>
      <c r="I15" s="60"/>
    </row>
    <row r="16" spans="1:9" ht="15.75" x14ac:dyDescent="0.25">
      <c r="A16" s="60"/>
      <c r="B16" s="100" t="s">
        <v>178</v>
      </c>
      <c r="C16" s="212">
        <f>IF('#2 Consumption'!I35="Only essentials",'#2 Consumption'!C44,IF('#2 Consumption'!I35="All items",'#2 Consumption'!B44,0))</f>
        <v>8628.7083333333339</v>
      </c>
      <c r="D16" s="309"/>
      <c r="E16" s="309"/>
      <c r="F16" s="309"/>
      <c r="G16" s="309"/>
      <c r="H16" s="309"/>
      <c r="I16" s="60"/>
    </row>
    <row r="17" spans="1:17" ht="15.75" x14ac:dyDescent="0.25">
      <c r="A17" s="60"/>
      <c r="B17" s="100" t="s">
        <v>141</v>
      </c>
      <c r="C17">
        <f>'#5 Equipment'!C13</f>
        <v>24</v>
      </c>
      <c r="D17" s="309"/>
      <c r="E17" s="309"/>
      <c r="F17" s="309"/>
      <c r="G17" s="309"/>
      <c r="H17" s="309"/>
      <c r="I17" s="60"/>
    </row>
    <row r="18" spans="1:17" ht="15.75" x14ac:dyDescent="0.25">
      <c r="A18" s="60"/>
      <c r="B18" s="100" t="s">
        <v>31</v>
      </c>
      <c r="C18" s="174">
        <v>1.5</v>
      </c>
      <c r="D18" s="309"/>
      <c r="E18" s="309"/>
      <c r="F18" s="309"/>
      <c r="G18" s="309"/>
      <c r="H18" s="309"/>
      <c r="I18" s="60"/>
    </row>
    <row r="19" spans="1:17" ht="15" customHeight="1" x14ac:dyDescent="0.25">
      <c r="A19" s="60"/>
      <c r="B19" s="100" t="s">
        <v>204</v>
      </c>
      <c r="C19" s="245">
        <v>80</v>
      </c>
      <c r="D19" s="309"/>
      <c r="E19" s="309"/>
      <c r="F19" s="309"/>
      <c r="G19" s="309"/>
      <c r="H19" s="309"/>
      <c r="I19" s="60"/>
    </row>
    <row r="20" spans="1:17" s="32" customFormat="1" ht="15" customHeight="1" x14ac:dyDescent="0.25">
      <c r="A20" s="60"/>
      <c r="B20" s="307"/>
      <c r="C20" s="307"/>
      <c r="D20" s="309"/>
      <c r="E20" s="309"/>
      <c r="F20" s="309"/>
      <c r="G20" s="309"/>
      <c r="H20" s="309"/>
      <c r="I20" s="60"/>
    </row>
    <row r="21" spans="1:17" x14ac:dyDescent="0.25">
      <c r="A21" s="60"/>
      <c r="B21" s="333"/>
      <c r="C21" s="333"/>
      <c r="D21" s="309"/>
      <c r="E21" s="309"/>
      <c r="F21" s="309"/>
      <c r="G21" s="309"/>
      <c r="H21" s="309"/>
      <c r="I21" s="60"/>
    </row>
    <row r="22" spans="1:17" ht="9.75" hidden="1" customHeight="1" x14ac:dyDescent="0.25">
      <c r="A22" s="60"/>
      <c r="B22" s="99">
        <f>IFERROR((((C16/C17)*C18)*(1/(C19/100))),0)</f>
        <v>674.11783854166674</v>
      </c>
      <c r="C22" s="98" t="s">
        <v>32</v>
      </c>
      <c r="D22" s="364" t="s">
        <v>271</v>
      </c>
      <c r="E22" s="365"/>
      <c r="F22" s="366"/>
      <c r="G22" s="309"/>
      <c r="H22" s="309"/>
      <c r="I22" s="60"/>
      <c r="Q22" s="6"/>
    </row>
    <row r="23" spans="1:17" ht="15.75" x14ac:dyDescent="0.25">
      <c r="A23" s="60"/>
      <c r="B23" s="102">
        <f>C17</f>
        <v>24</v>
      </c>
      <c r="C23" s="103" t="s">
        <v>6</v>
      </c>
      <c r="D23" s="364" t="s">
        <v>42</v>
      </c>
      <c r="E23" s="365"/>
      <c r="F23" s="366"/>
      <c r="G23" s="309"/>
      <c r="H23" s="309"/>
      <c r="I23" s="60"/>
      <c r="Q23" s="6"/>
    </row>
    <row r="24" spans="1:17" ht="18.75" hidden="1" customHeight="1" x14ac:dyDescent="0.25">
      <c r="A24" s="60"/>
      <c r="B24" s="103">
        <f>IF(B22&gt;1,B22/C13,0)</f>
        <v>2.9960792824074076</v>
      </c>
      <c r="C24" s="97"/>
      <c r="D24" s="91" t="s">
        <v>43</v>
      </c>
      <c r="E24" s="91"/>
      <c r="F24" s="91"/>
      <c r="G24" s="309"/>
      <c r="H24" s="309"/>
      <c r="I24" s="60"/>
    </row>
    <row r="25" spans="1:17" ht="27.75" hidden="1" customHeight="1" x14ac:dyDescent="0.25">
      <c r="A25" s="60"/>
      <c r="B25" s="98">
        <f>ROUNDUP(B24,0)</f>
        <v>3</v>
      </c>
      <c r="C25" s="98"/>
      <c r="D25" s="91" t="s">
        <v>124</v>
      </c>
      <c r="E25" s="91"/>
      <c r="F25" s="91"/>
      <c r="G25" s="309"/>
      <c r="H25" s="309"/>
      <c r="I25" s="60"/>
    </row>
    <row r="26" spans="1:17" ht="15.75" x14ac:dyDescent="0.25">
      <c r="A26" s="60"/>
      <c r="B26" s="98">
        <f>IFERROR(IF(C14&lt;C17,(C17/C14)*B25,B25),0)</f>
        <v>6</v>
      </c>
      <c r="C26" s="98"/>
      <c r="D26" s="364" t="s">
        <v>44</v>
      </c>
      <c r="E26" s="365"/>
      <c r="F26" s="366"/>
      <c r="G26" s="309"/>
      <c r="H26" s="309"/>
      <c r="I26" s="60"/>
    </row>
    <row r="27" spans="1:17" x14ac:dyDescent="0.25">
      <c r="A27" s="60"/>
      <c r="B27" s="372"/>
      <c r="C27" s="372"/>
      <c r="D27" s="372"/>
      <c r="E27" s="372"/>
      <c r="F27" s="307"/>
      <c r="G27" s="309"/>
      <c r="H27" s="309"/>
      <c r="I27" s="60"/>
    </row>
    <row r="28" spans="1:17" ht="15.75" x14ac:dyDescent="0.25">
      <c r="A28" s="60"/>
      <c r="B28" s="368" t="s">
        <v>179</v>
      </c>
      <c r="C28" s="368"/>
      <c r="D28" s="368"/>
      <c r="E28" s="368"/>
      <c r="F28" s="309"/>
      <c r="G28" s="309"/>
      <c r="H28" s="309"/>
      <c r="I28" s="60"/>
    </row>
    <row r="29" spans="1:17" ht="15.75" x14ac:dyDescent="0.25">
      <c r="A29" s="60"/>
      <c r="B29" s="64" t="s">
        <v>51</v>
      </c>
      <c r="C29" s="101" t="s">
        <v>52</v>
      </c>
      <c r="D29" s="101" t="s">
        <v>136</v>
      </c>
      <c r="E29" s="64"/>
      <c r="F29" s="309"/>
      <c r="G29" s="309"/>
      <c r="H29" s="309"/>
      <c r="I29" s="60"/>
    </row>
    <row r="30" spans="1:17" x14ac:dyDescent="0.25">
      <c r="A30" s="60"/>
      <c r="B30" s="99" t="str">
        <f>IF(C14&lt;B23,'Values &amp; Tables'!B39,'Values &amp; Tables'!B40)</f>
        <v>Yes</v>
      </c>
      <c r="C30" s="98" t="str">
        <f>IF(C13&lt;B22,'Values &amp; Tables'!B39,'Values &amp; Tables'!B40)</f>
        <v>Yes</v>
      </c>
      <c r="D30" s="367" t="str">
        <f>IF(AND(B30='Values &amp; Tables'!B39,C30='Values &amp; Tables'!B40),'Values &amp; Tables'!B35,IF(AND(B30='Values &amp; Tables'!B40,C30='Values &amp; Tables'!B39),'Values &amp; Tables'!B36,IF(AND(B30='Values &amp; Tables'!B39,C30='Values &amp; Tables'!B39),'Values &amp; Tables'!B37,0)))</f>
        <v>Series-Parallel</v>
      </c>
      <c r="E30" s="367"/>
      <c r="F30" s="309"/>
      <c r="G30" s="309"/>
      <c r="H30" s="309"/>
      <c r="I30" s="60"/>
    </row>
    <row r="31" spans="1:17" x14ac:dyDescent="0.25">
      <c r="A31" s="60"/>
      <c r="B31" s="61"/>
      <c r="C31" s="61"/>
      <c r="D31" s="61"/>
      <c r="E31" s="60"/>
      <c r="F31" s="60"/>
      <c r="G31" s="60"/>
      <c r="H31" s="60"/>
      <c r="I31" s="60"/>
    </row>
    <row r="33" spans="2:2" x14ac:dyDescent="0.25">
      <c r="B33" s="3"/>
    </row>
    <row r="34" spans="2:2" x14ac:dyDescent="0.25">
      <c r="B34" s="3"/>
    </row>
  </sheetData>
  <sheetProtection algorithmName="SHA-512" hashValue="afAscOAFMnk5oQTXamP+UQ4k0smIeoSAqrvtZBQMjXLAsZv4HxpjpwhN8qiZ+ZAoe3ERxRJzBeTqH/TsQn9hcQ==" saltValue="NMoPTpDGmpkZ1Y6sL6DeLw==" spinCount="100000" sheet="1" objects="1" scenarios="1" selectLockedCells="1"/>
  <mergeCells count="19">
    <mergeCell ref="F27:F30"/>
    <mergeCell ref="B27:E27"/>
    <mergeCell ref="D23:F23"/>
    <mergeCell ref="D26:F26"/>
    <mergeCell ref="D30:E30"/>
    <mergeCell ref="B28:E28"/>
    <mergeCell ref="B5:H6"/>
    <mergeCell ref="B2:E3"/>
    <mergeCell ref="B11:C11"/>
    <mergeCell ref="B8:H9"/>
    <mergeCell ref="D22:F22"/>
    <mergeCell ref="F2:H4"/>
    <mergeCell ref="B4:E4"/>
    <mergeCell ref="B7:H7"/>
    <mergeCell ref="B10:H10"/>
    <mergeCell ref="D11:H21"/>
    <mergeCell ref="B20:C21"/>
    <mergeCell ref="B15:C15"/>
    <mergeCell ref="G22:H3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F180FAF-B795-405E-BCFE-3F7AB6E46F7A}">
          <x14:formula1>
            <xm:f>'Values &amp; Tables'!$K$3:$K$13</xm:f>
          </x14:formula1>
          <xm:sqref>C18</xm:sqref>
        </x14:dataValidation>
        <x14:dataValidation type="list" showInputMessage="1" showErrorMessage="1" xr:uid="{AEE3CEC1-CE45-409B-A048-4DB72FB33D15}">
          <x14:formula1>
            <xm:f>'Values &amp; Tables'!$A$22:$A$41</xm:f>
          </x14:formula1>
          <xm:sqref>C19</xm:sqref>
        </x14:dataValidation>
        <x14:dataValidation type="list" showInputMessage="1" showErrorMessage="1" xr:uid="{F2975DBB-111E-446C-A2F0-D6C7EEC59DCE}">
          <x14:formula1>
            <xm:f>'Values &amp; Tables'!$C$15:$C$19</xm:f>
          </x14:formula1>
          <xm:sqref>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A8F8-C8D4-463B-9761-72285E1E99AE}">
  <dimension ref="A1:G46"/>
  <sheetViews>
    <sheetView tabSelected="1" zoomScale="90" zoomScaleNormal="90" workbookViewId="0">
      <selection activeCell="D5" sqref="D5"/>
    </sheetView>
  </sheetViews>
  <sheetFormatPr defaultRowHeight="15" x14ac:dyDescent="0.25"/>
  <cols>
    <col min="1" max="1" width="2.5703125" style="32" customWidth="1"/>
    <col min="2" max="2" width="35.28515625" customWidth="1"/>
    <col min="6" max="6" width="2.5703125" customWidth="1"/>
  </cols>
  <sheetData>
    <row r="1" spans="1:7" s="32" customFormat="1" x14ac:dyDescent="0.25">
      <c r="A1" s="60"/>
      <c r="B1" s="60"/>
      <c r="C1" s="60"/>
      <c r="D1" s="60"/>
      <c r="E1" s="60"/>
      <c r="F1" s="60"/>
    </row>
    <row r="2" spans="1:7" x14ac:dyDescent="0.25">
      <c r="A2" s="60"/>
      <c r="B2" s="278" t="s">
        <v>181</v>
      </c>
      <c r="C2" s="278"/>
      <c r="D2" s="341"/>
      <c r="E2" s="309"/>
      <c r="F2" s="60"/>
    </row>
    <row r="3" spans="1:7" x14ac:dyDescent="0.25">
      <c r="A3" s="60"/>
      <c r="B3" s="278"/>
      <c r="C3" s="278"/>
      <c r="D3" s="341"/>
      <c r="E3" s="309"/>
      <c r="F3" s="60"/>
    </row>
    <row r="4" spans="1:7" s="32" customFormat="1" x14ac:dyDescent="0.25">
      <c r="A4" s="60"/>
      <c r="B4" s="333"/>
      <c r="C4" s="333"/>
      <c r="D4" s="333"/>
      <c r="E4" s="309"/>
      <c r="F4" s="60"/>
    </row>
    <row r="5" spans="1:7" s="32" customFormat="1" ht="15.75" x14ac:dyDescent="0.25">
      <c r="A5" s="60"/>
      <c r="B5" s="364" t="s">
        <v>109</v>
      </c>
      <c r="C5" s="366"/>
      <c r="D5" s="140" t="s">
        <v>107</v>
      </c>
      <c r="E5" s="309"/>
      <c r="F5" s="60"/>
    </row>
    <row r="6" spans="1:7" x14ac:dyDescent="0.25">
      <c r="A6" s="60"/>
      <c r="B6" s="318"/>
      <c r="C6" s="318"/>
      <c r="D6" s="307"/>
      <c r="E6" s="309"/>
      <c r="F6" s="60"/>
    </row>
    <row r="7" spans="1:7" ht="15.75" x14ac:dyDescent="0.25">
      <c r="A7" s="60"/>
      <c r="B7" s="107" t="s">
        <v>34</v>
      </c>
      <c r="C7" s="106">
        <f>'#4 Solar panel estimation'!I31</f>
        <v>6</v>
      </c>
      <c r="D7" s="309"/>
      <c r="E7" s="309"/>
      <c r="F7" s="104"/>
      <c r="G7" s="31"/>
    </row>
    <row r="8" spans="1:7" ht="15.75" x14ac:dyDescent="0.25">
      <c r="A8" s="60"/>
      <c r="B8" s="108" t="s">
        <v>182</v>
      </c>
      <c r="C8" s="190">
        <f>'#4 Solar panel estimation'!C16</f>
        <v>8.98</v>
      </c>
      <c r="D8" s="309"/>
      <c r="E8" s="309"/>
      <c r="F8" s="104"/>
      <c r="G8" s="31"/>
    </row>
    <row r="9" spans="1:7" ht="15.75" hidden="1" customHeight="1" x14ac:dyDescent="0.25">
      <c r="A9" s="60"/>
      <c r="B9" s="107" t="s">
        <v>33</v>
      </c>
      <c r="C9" s="57">
        <f>IF('#4 Solar panel estimation'!F23="Parallel",'#7 Cables, ground and others'!C8*'#7 Cables, ground and others'!C7,'#7 Cables, ground and others'!C8*1)</f>
        <v>53.88</v>
      </c>
      <c r="D9" s="309"/>
      <c r="E9" s="309"/>
      <c r="F9" s="104"/>
      <c r="G9" s="31"/>
    </row>
    <row r="10" spans="1:7" ht="30" customHeight="1" x14ac:dyDescent="0.25">
      <c r="A10" s="60"/>
      <c r="B10" s="109" t="s">
        <v>183</v>
      </c>
      <c r="C10" s="105">
        <f>ROUNDUP((C9*25/100)+C9,0)</f>
        <v>68</v>
      </c>
      <c r="D10" s="309"/>
      <c r="E10" s="309"/>
      <c r="F10" s="104"/>
      <c r="G10" s="31"/>
    </row>
    <row r="11" spans="1:7" ht="31.5" x14ac:dyDescent="0.25">
      <c r="A11" s="60"/>
      <c r="B11" s="109" t="s">
        <v>184</v>
      </c>
      <c r="C11" s="105">
        <f>ROUNDUP((C8*25/100)+C8,0)</f>
        <v>12</v>
      </c>
      <c r="D11" s="309"/>
      <c r="E11" s="309"/>
      <c r="F11" s="104"/>
      <c r="G11" s="31"/>
    </row>
    <row r="12" spans="1:7" x14ac:dyDescent="0.25">
      <c r="A12" s="60"/>
      <c r="B12" s="360"/>
      <c r="C12" s="360"/>
      <c r="D12" s="309"/>
      <c r="E12" s="309"/>
      <c r="F12" s="104"/>
      <c r="G12" s="31"/>
    </row>
    <row r="13" spans="1:7" ht="15.75" x14ac:dyDescent="0.25">
      <c r="A13" s="60"/>
      <c r="B13" s="373" t="s">
        <v>117</v>
      </c>
      <c r="C13" s="373"/>
      <c r="D13" s="309"/>
      <c r="E13" s="309"/>
      <c r="F13" s="104"/>
      <c r="G13" s="31"/>
    </row>
    <row r="14" spans="1:7" ht="15.75" x14ac:dyDescent="0.25">
      <c r="A14" s="60"/>
      <c r="B14" s="107" t="s">
        <v>118</v>
      </c>
      <c r="C14" s="55" t="str">
        <f>'#4 Solar panel estimation'!F23</f>
        <v>Parallel</v>
      </c>
      <c r="D14" s="309"/>
      <c r="E14" s="309"/>
      <c r="F14" s="104"/>
      <c r="G14" s="31"/>
    </row>
    <row r="15" spans="1:7" ht="15" customHeight="1" x14ac:dyDescent="0.25">
      <c r="A15" s="60"/>
      <c r="B15" s="109" t="s">
        <v>119</v>
      </c>
      <c r="C15" s="55">
        <f>IF(C14="Parallel",C7*2,IF(C14="Series",2,0))</f>
        <v>12</v>
      </c>
      <c r="D15" s="309"/>
      <c r="E15" s="309"/>
      <c r="F15" s="104"/>
      <c r="G15" s="31"/>
    </row>
    <row r="16" spans="1:7" ht="15.75" x14ac:dyDescent="0.25">
      <c r="A16" s="60"/>
      <c r="B16" s="109" t="s">
        <v>120</v>
      </c>
      <c r="C16" s="55">
        <f>C15/2</f>
        <v>6</v>
      </c>
      <c r="D16" s="309"/>
      <c r="E16" s="309"/>
      <c r="F16" s="104"/>
      <c r="G16" s="31"/>
    </row>
    <row r="17" spans="1:7" s="32" customFormat="1" ht="15" customHeight="1" x14ac:dyDescent="0.25">
      <c r="A17" s="60"/>
      <c r="B17" s="109" t="s">
        <v>149</v>
      </c>
      <c r="C17" s="55">
        <f>ROUNDUP(C8*25%+C8,0)</f>
        <v>12</v>
      </c>
      <c r="D17" s="309"/>
      <c r="E17" s="309"/>
      <c r="F17" s="104"/>
      <c r="G17" s="31"/>
    </row>
    <row r="18" spans="1:7" x14ac:dyDescent="0.25">
      <c r="A18" s="60"/>
      <c r="B18" s="374" t="s">
        <v>138</v>
      </c>
      <c r="C18" s="375">
        <f>IF(D5="mm2",(IF(C14="Parallel",VLOOKUP(C10,mm,2,FALSE),IF(C14="Series",VLOOKUP(C11,mm,2,FALSE),0))),IF(D5="AWG",(IF(C14="Parallel",VLOOKUP(C10,AWG,2,FALSE),IF(C14="Series",VLOOKUP(C11,AWG,2,FALSE)))),0))</f>
        <v>25</v>
      </c>
      <c r="D18" s="357" t="str">
        <f>D5</f>
        <v>mm2</v>
      </c>
      <c r="E18" s="309"/>
      <c r="F18" s="104"/>
      <c r="G18" s="31"/>
    </row>
    <row r="19" spans="1:7" s="32" customFormat="1" x14ac:dyDescent="0.25">
      <c r="A19" s="60"/>
      <c r="B19" s="374"/>
      <c r="C19" s="375"/>
      <c r="D19" s="357"/>
      <c r="E19" s="309"/>
      <c r="F19" s="104"/>
      <c r="G19" s="31"/>
    </row>
    <row r="20" spans="1:7" x14ac:dyDescent="0.25">
      <c r="A20" s="60"/>
      <c r="B20" s="360"/>
      <c r="C20" s="360"/>
      <c r="D20" s="229"/>
      <c r="E20" s="309"/>
      <c r="F20" s="104"/>
      <c r="G20" s="31"/>
    </row>
    <row r="21" spans="1:7" x14ac:dyDescent="0.25">
      <c r="A21" s="60"/>
      <c r="B21" s="60"/>
      <c r="C21" s="104"/>
      <c r="D21" s="104"/>
      <c r="E21" s="104"/>
      <c r="F21" s="104"/>
      <c r="G21" s="31"/>
    </row>
    <row r="22" spans="1:7" x14ac:dyDescent="0.25">
      <c r="B22" s="31"/>
      <c r="C22" s="31"/>
      <c r="D22" s="31"/>
      <c r="E22" s="31"/>
      <c r="F22" s="31"/>
      <c r="G22" s="31"/>
    </row>
    <row r="23" spans="1:7" x14ac:dyDescent="0.25">
      <c r="B23" s="31"/>
      <c r="C23" s="31"/>
      <c r="D23" s="31"/>
      <c r="E23" s="31"/>
      <c r="F23" s="31"/>
      <c r="G23" s="31"/>
    </row>
    <row r="24" spans="1:7" x14ac:dyDescent="0.25">
      <c r="B24" s="31"/>
      <c r="C24" s="31"/>
      <c r="D24" s="31"/>
      <c r="E24" s="31"/>
      <c r="F24" s="31"/>
      <c r="G24" s="31"/>
    </row>
    <row r="25" spans="1:7" x14ac:dyDescent="0.25">
      <c r="B25" s="31"/>
      <c r="C25" s="31"/>
      <c r="D25" s="31"/>
      <c r="E25" s="31"/>
      <c r="F25" s="31"/>
      <c r="G25" s="31"/>
    </row>
    <row r="26" spans="1:7" x14ac:dyDescent="0.25">
      <c r="B26" s="31"/>
      <c r="C26" s="31"/>
      <c r="D26" s="31"/>
      <c r="E26" s="31"/>
      <c r="F26" s="31"/>
      <c r="G26" s="31"/>
    </row>
    <row r="27" spans="1:7" x14ac:dyDescent="0.25">
      <c r="B27" s="31"/>
      <c r="C27" s="31"/>
      <c r="D27" s="31"/>
      <c r="E27" s="31"/>
      <c r="F27" s="31"/>
      <c r="G27" s="31"/>
    </row>
    <row r="28" spans="1:7" x14ac:dyDescent="0.25">
      <c r="B28" s="31"/>
      <c r="C28" s="31"/>
      <c r="D28" s="31"/>
      <c r="E28" s="31"/>
      <c r="F28" s="31"/>
      <c r="G28" s="31"/>
    </row>
    <row r="29" spans="1:7" x14ac:dyDescent="0.25">
      <c r="B29" s="31"/>
      <c r="C29" s="31"/>
      <c r="D29" s="31"/>
      <c r="E29" s="31"/>
      <c r="F29" s="31"/>
      <c r="G29" s="31"/>
    </row>
    <row r="30" spans="1:7" x14ac:dyDescent="0.25">
      <c r="B30" s="31"/>
      <c r="C30" s="31"/>
      <c r="D30" s="31"/>
      <c r="E30" s="31"/>
      <c r="F30" s="31"/>
      <c r="G30" s="31"/>
    </row>
    <row r="31" spans="1:7" x14ac:dyDescent="0.25">
      <c r="B31" s="31"/>
      <c r="C31" s="31"/>
      <c r="D31" s="31"/>
      <c r="E31" s="31"/>
      <c r="F31" s="31"/>
      <c r="G31" s="31"/>
    </row>
    <row r="32" spans="1:7" x14ac:dyDescent="0.25">
      <c r="B32" s="31"/>
      <c r="C32" s="31"/>
      <c r="D32" s="31"/>
      <c r="E32" s="31"/>
      <c r="F32" s="31"/>
      <c r="G32" s="31"/>
    </row>
    <row r="33" spans="2:7" x14ac:dyDescent="0.25">
      <c r="B33" s="31"/>
      <c r="C33" s="31"/>
      <c r="D33" s="31"/>
      <c r="E33" s="31"/>
      <c r="F33" s="31"/>
      <c r="G33" s="31"/>
    </row>
    <row r="34" spans="2:7" x14ac:dyDescent="0.25">
      <c r="B34" s="31"/>
      <c r="C34" s="31"/>
      <c r="D34" s="31"/>
      <c r="E34" s="31"/>
      <c r="F34" s="31"/>
      <c r="G34" s="31"/>
    </row>
    <row r="35" spans="2:7" x14ac:dyDescent="0.25">
      <c r="B35" s="31"/>
      <c r="C35" s="31"/>
      <c r="D35" s="31"/>
      <c r="E35" s="31"/>
      <c r="F35" s="31"/>
      <c r="G35" s="31"/>
    </row>
    <row r="36" spans="2:7" x14ac:dyDescent="0.25">
      <c r="B36" s="31"/>
      <c r="C36" s="31"/>
      <c r="D36" s="31"/>
      <c r="E36" s="31"/>
      <c r="F36" s="31"/>
      <c r="G36" s="31"/>
    </row>
    <row r="37" spans="2:7" x14ac:dyDescent="0.25">
      <c r="B37" s="31"/>
      <c r="C37" s="31"/>
      <c r="D37" s="31"/>
      <c r="E37" s="31"/>
      <c r="F37" s="31"/>
      <c r="G37" s="31"/>
    </row>
    <row r="38" spans="2:7" x14ac:dyDescent="0.25">
      <c r="B38" s="31"/>
      <c r="C38" s="31"/>
      <c r="D38" s="31"/>
      <c r="E38" s="31"/>
      <c r="F38" s="31"/>
      <c r="G38" s="31"/>
    </row>
    <row r="39" spans="2:7" x14ac:dyDescent="0.25">
      <c r="B39" s="31"/>
      <c r="C39" s="31"/>
      <c r="D39" s="31"/>
      <c r="E39" s="31"/>
      <c r="F39" s="31"/>
      <c r="G39" s="31"/>
    </row>
    <row r="40" spans="2:7" x14ac:dyDescent="0.25">
      <c r="B40" s="31"/>
      <c r="C40" s="31"/>
      <c r="D40" s="31"/>
      <c r="E40" s="31"/>
      <c r="F40" s="31"/>
      <c r="G40" s="31"/>
    </row>
    <row r="41" spans="2:7" x14ac:dyDescent="0.25">
      <c r="B41" s="31"/>
      <c r="C41" s="31"/>
      <c r="D41" s="31"/>
      <c r="E41" s="31"/>
      <c r="F41" s="31"/>
      <c r="G41" s="31"/>
    </row>
    <row r="42" spans="2:7" x14ac:dyDescent="0.25">
      <c r="B42" s="31"/>
      <c r="C42" s="31"/>
      <c r="D42" s="31"/>
      <c r="E42" s="31"/>
      <c r="F42" s="31"/>
      <c r="G42" s="31"/>
    </row>
    <row r="43" spans="2:7" x14ac:dyDescent="0.25">
      <c r="B43" s="31"/>
      <c r="C43" s="31"/>
      <c r="D43" s="31"/>
      <c r="E43" s="31"/>
      <c r="F43" s="31"/>
      <c r="G43" s="31"/>
    </row>
    <row r="44" spans="2:7" x14ac:dyDescent="0.25">
      <c r="B44" s="31"/>
      <c r="C44" s="31"/>
      <c r="D44" s="31"/>
      <c r="E44" s="31"/>
      <c r="F44" s="31"/>
      <c r="G44" s="31"/>
    </row>
    <row r="45" spans="2:7" x14ac:dyDescent="0.25">
      <c r="B45" s="31"/>
      <c r="C45" s="31"/>
      <c r="D45" s="31"/>
      <c r="E45" s="31"/>
      <c r="F45" s="31"/>
      <c r="G45" s="31"/>
    </row>
    <row r="46" spans="2:7" x14ac:dyDescent="0.25">
      <c r="B46" s="31"/>
      <c r="C46" s="31"/>
      <c r="D46" s="31"/>
      <c r="E46" s="31"/>
      <c r="F46" s="31"/>
      <c r="G46" s="31"/>
    </row>
  </sheetData>
  <sheetProtection algorithmName="SHA-512" hashValue="xBDOSy/s6yhYMHpuRL6QvIwZJkQkiYIih/naQ++oNJLDgd7tq80vO03WmXrrI4GySghZpN67ZPJwAb5+gltVuw==" saltValue="vRY/cdT7YvyPubLGFSkqXQ==" spinCount="100000" sheet="1" objects="1" scenarios="1" selectLockedCells="1"/>
  <mergeCells count="13">
    <mergeCell ref="E2:E20"/>
    <mergeCell ref="B20:C20"/>
    <mergeCell ref="D6:D17"/>
    <mergeCell ref="B6:C6"/>
    <mergeCell ref="B4:D4"/>
    <mergeCell ref="D2:D3"/>
    <mergeCell ref="B12:C12"/>
    <mergeCell ref="D18:D19"/>
    <mergeCell ref="B2:C3"/>
    <mergeCell ref="B13:C13"/>
    <mergeCell ref="B5:C5"/>
    <mergeCell ref="B18:B19"/>
    <mergeCell ref="C18:C1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E2AAF20D-9F58-4721-94AE-F055C69B74EA}">
          <x14:formula1>
            <xm:f>'Values &amp; Tables'!$A$10:$A$12</xm:f>
          </x14:formula1>
          <xm:sqref>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F7BF7-13E9-48AF-9046-559FB6C92848}">
  <dimension ref="A1:P25"/>
  <sheetViews>
    <sheetView workbookViewId="0">
      <pane ySplit="4" topLeftCell="A5" activePane="bottomLeft" state="frozen"/>
      <selection pane="bottomLeft" activeCell="D5" sqref="D5"/>
    </sheetView>
  </sheetViews>
  <sheetFormatPr defaultRowHeight="15" x14ac:dyDescent="0.25"/>
  <cols>
    <col min="1" max="1" width="2.7109375" style="32" customWidth="1"/>
    <col min="2" max="2" width="27" customWidth="1"/>
    <col min="4" max="4" width="23.28515625" style="32" customWidth="1"/>
    <col min="5" max="5" width="16.140625" style="32" customWidth="1"/>
    <col min="6" max="6" width="19.85546875" style="32" customWidth="1"/>
    <col min="7" max="7" width="22.140625" bestFit="1" customWidth="1"/>
    <col min="8" max="8" width="15.85546875" style="32" customWidth="1"/>
    <col min="9" max="9" width="18.5703125" bestFit="1" customWidth="1"/>
    <col min="10" max="10" width="2.7109375" customWidth="1"/>
    <col min="11" max="11" width="23.5703125" customWidth="1"/>
  </cols>
  <sheetData>
    <row r="1" spans="1:16" s="32" customFormat="1" x14ac:dyDescent="0.25">
      <c r="A1" s="60"/>
      <c r="B1" s="60"/>
      <c r="C1" s="60"/>
      <c r="D1" s="60"/>
      <c r="E1" s="60"/>
      <c r="F1" s="60"/>
      <c r="G1" s="60"/>
      <c r="H1" s="60"/>
      <c r="I1" s="60"/>
      <c r="J1" s="60"/>
    </row>
    <row r="2" spans="1:16" ht="24" customHeight="1" x14ac:dyDescent="0.35">
      <c r="A2" s="60"/>
      <c r="B2" s="129" t="s">
        <v>15</v>
      </c>
      <c r="C2" s="309"/>
      <c r="D2" s="309"/>
      <c r="E2" s="309"/>
      <c r="F2" s="309"/>
      <c r="G2" s="309"/>
      <c r="H2" s="309"/>
      <c r="I2" s="309"/>
      <c r="J2" s="60"/>
    </row>
    <row r="3" spans="1:16" ht="15.75" thickBot="1" x14ac:dyDescent="0.3">
      <c r="A3" s="60"/>
      <c r="B3" s="22"/>
      <c r="C3" s="377"/>
      <c r="D3" s="377"/>
      <c r="E3" s="377"/>
      <c r="F3" s="377"/>
      <c r="G3" s="377"/>
      <c r="H3" s="377"/>
      <c r="I3" s="377"/>
      <c r="J3" s="60"/>
    </row>
    <row r="4" spans="1:16" ht="15.75" thickBot="1" x14ac:dyDescent="0.3">
      <c r="A4" s="60"/>
      <c r="B4" s="114" t="s">
        <v>10</v>
      </c>
      <c r="C4" s="115" t="s">
        <v>1</v>
      </c>
      <c r="D4" s="116" t="s">
        <v>186</v>
      </c>
      <c r="E4" s="116" t="s">
        <v>22</v>
      </c>
      <c r="F4" s="116" t="s">
        <v>185</v>
      </c>
      <c r="G4" s="117" t="s">
        <v>153</v>
      </c>
      <c r="H4" s="117" t="s">
        <v>155</v>
      </c>
      <c r="I4" s="118" t="s">
        <v>154</v>
      </c>
      <c r="J4" s="60"/>
    </row>
    <row r="5" spans="1:16" x14ac:dyDescent="0.25">
      <c r="A5" s="60"/>
      <c r="B5" s="113" t="s">
        <v>21</v>
      </c>
      <c r="C5" s="246"/>
      <c r="D5" s="247"/>
      <c r="E5" s="247">
        <f>D5*21/100</f>
        <v>0</v>
      </c>
      <c r="F5" s="220">
        <f>D5+E5</f>
        <v>0</v>
      </c>
      <c r="G5" s="221">
        <f>D5*C5</f>
        <v>0</v>
      </c>
      <c r="H5" s="221">
        <f>E5*C5</f>
        <v>0</v>
      </c>
      <c r="I5" s="221">
        <f>F5*C5</f>
        <v>0</v>
      </c>
      <c r="J5" s="60"/>
    </row>
    <row r="6" spans="1:16" x14ac:dyDescent="0.25">
      <c r="A6" s="60"/>
      <c r="B6" s="111" t="s">
        <v>152</v>
      </c>
      <c r="C6" s="140"/>
      <c r="D6" s="248"/>
      <c r="E6" s="247">
        <f t="shared" ref="E6:E23" si="0">D6*21/100</f>
        <v>0</v>
      </c>
      <c r="F6" s="222">
        <f t="shared" ref="F6:F23" si="1">D6+E6</f>
        <v>0</v>
      </c>
      <c r="G6" s="223">
        <f t="shared" ref="G6:G22" si="2">D6*C6</f>
        <v>0</v>
      </c>
      <c r="H6" s="223">
        <f t="shared" ref="H6:H22" si="3">E6*C6</f>
        <v>0</v>
      </c>
      <c r="I6" s="223">
        <f t="shared" ref="I6:I22" si="4">F6*C6</f>
        <v>0</v>
      </c>
      <c r="J6" s="60"/>
    </row>
    <row r="7" spans="1:16" s="32" customFormat="1" x14ac:dyDescent="0.25">
      <c r="A7" s="60"/>
      <c r="B7" s="111" t="s">
        <v>187</v>
      </c>
      <c r="C7" s="140">
        <f>IF('#1 Data'!C6="Yes",'#3 Wind turbine estimation'!C17,0)</f>
        <v>0</v>
      </c>
      <c r="D7" s="248"/>
      <c r="E7" s="247">
        <f t="shared" si="0"/>
        <v>0</v>
      </c>
      <c r="F7" s="222">
        <f t="shared" ref="F7" si="5">D7+E7</f>
        <v>0</v>
      </c>
      <c r="G7" s="223">
        <f t="shared" ref="G7" si="6">D7*C7</f>
        <v>0</v>
      </c>
      <c r="H7" s="223">
        <f t="shared" ref="H7" si="7">E7*C7</f>
        <v>0</v>
      </c>
      <c r="I7" s="223">
        <f t="shared" ref="I7" si="8">F7*C7</f>
        <v>0</v>
      </c>
      <c r="J7" s="60"/>
    </row>
    <row r="8" spans="1:16" x14ac:dyDescent="0.25">
      <c r="A8" s="60"/>
      <c r="B8" s="111" t="s">
        <v>112</v>
      </c>
      <c r="C8" s="237">
        <f>IF('#1 Data'!C7="Yes",'#4 Solar panel estimation'!I31,0)</f>
        <v>6</v>
      </c>
      <c r="D8" s="248"/>
      <c r="E8" s="247">
        <f t="shared" si="0"/>
        <v>0</v>
      </c>
      <c r="F8" s="222">
        <f t="shared" si="1"/>
        <v>0</v>
      </c>
      <c r="G8" s="223">
        <f t="shared" si="2"/>
        <v>0</v>
      </c>
      <c r="H8" s="223">
        <f t="shared" si="3"/>
        <v>0</v>
      </c>
      <c r="I8" s="223">
        <f t="shared" si="4"/>
        <v>0</v>
      </c>
      <c r="J8" s="60"/>
    </row>
    <row r="9" spans="1:16" x14ac:dyDescent="0.25">
      <c r="A9" s="60"/>
      <c r="B9" s="111" t="s">
        <v>113</v>
      </c>
      <c r="C9" s="140">
        <f>IF('#1 Data'!C14="Yes",'#6 Batteries bank estimation'!B26,0)</f>
        <v>6</v>
      </c>
      <c r="D9" s="248"/>
      <c r="E9" s="247">
        <f t="shared" si="0"/>
        <v>0</v>
      </c>
      <c r="F9" s="222">
        <f t="shared" si="1"/>
        <v>0</v>
      </c>
      <c r="G9" s="223">
        <f t="shared" si="2"/>
        <v>0</v>
      </c>
      <c r="H9" s="223">
        <f t="shared" si="3"/>
        <v>0</v>
      </c>
      <c r="I9" s="223">
        <f t="shared" si="4"/>
        <v>0</v>
      </c>
      <c r="J9" s="60"/>
    </row>
    <row r="10" spans="1:16" x14ac:dyDescent="0.25">
      <c r="A10" s="60"/>
      <c r="B10" s="111" t="s">
        <v>11</v>
      </c>
      <c r="C10" s="140"/>
      <c r="D10" s="248"/>
      <c r="E10" s="247">
        <f t="shared" si="0"/>
        <v>0</v>
      </c>
      <c r="F10" s="222">
        <f t="shared" si="1"/>
        <v>0</v>
      </c>
      <c r="G10" s="223">
        <f t="shared" si="2"/>
        <v>0</v>
      </c>
      <c r="H10" s="223">
        <f t="shared" si="3"/>
        <v>0</v>
      </c>
      <c r="I10" s="223">
        <f t="shared" si="4"/>
        <v>0</v>
      </c>
      <c r="J10" s="60"/>
    </row>
    <row r="11" spans="1:16" x14ac:dyDescent="0.25">
      <c r="A11" s="60"/>
      <c r="B11" s="111" t="s">
        <v>114</v>
      </c>
      <c r="C11" s="140"/>
      <c r="D11" s="248"/>
      <c r="E11" s="247">
        <f t="shared" si="0"/>
        <v>0</v>
      </c>
      <c r="F11" s="222">
        <f t="shared" si="1"/>
        <v>0</v>
      </c>
      <c r="G11" s="223">
        <f t="shared" si="2"/>
        <v>0</v>
      </c>
      <c r="H11" s="223">
        <f t="shared" si="3"/>
        <v>0</v>
      </c>
      <c r="I11" s="223">
        <f t="shared" si="4"/>
        <v>0</v>
      </c>
      <c r="J11" s="60"/>
    </row>
    <row r="12" spans="1:16" s="32" customFormat="1" x14ac:dyDescent="0.25">
      <c r="A12" s="60"/>
      <c r="B12" s="111" t="s">
        <v>116</v>
      </c>
      <c r="C12" s="140"/>
      <c r="D12" s="248"/>
      <c r="E12" s="247">
        <f t="shared" si="0"/>
        <v>0</v>
      </c>
      <c r="F12" s="222">
        <f t="shared" si="1"/>
        <v>0</v>
      </c>
      <c r="G12" s="223">
        <f t="shared" si="2"/>
        <v>0</v>
      </c>
      <c r="H12" s="223">
        <f t="shared" si="3"/>
        <v>0</v>
      </c>
      <c r="I12" s="223">
        <f t="shared" si="4"/>
        <v>0</v>
      </c>
      <c r="J12" s="60"/>
    </row>
    <row r="13" spans="1:16" s="32" customFormat="1" x14ac:dyDescent="0.25">
      <c r="A13" s="60"/>
      <c r="B13" s="111" t="s">
        <v>117</v>
      </c>
      <c r="C13" s="140"/>
      <c r="D13" s="248"/>
      <c r="E13" s="247">
        <f t="shared" si="0"/>
        <v>0</v>
      </c>
      <c r="F13" s="222">
        <f t="shared" si="1"/>
        <v>0</v>
      </c>
      <c r="G13" s="223">
        <f t="shared" si="2"/>
        <v>0</v>
      </c>
      <c r="H13" s="223">
        <f t="shared" si="3"/>
        <v>0</v>
      </c>
      <c r="I13" s="223">
        <f t="shared" si="4"/>
        <v>0</v>
      </c>
      <c r="J13" s="60"/>
    </row>
    <row r="14" spans="1:16" x14ac:dyDescent="0.25">
      <c r="A14" s="60"/>
      <c r="B14" s="111" t="s">
        <v>16</v>
      </c>
      <c r="C14" s="140"/>
      <c r="D14" s="248"/>
      <c r="E14" s="247">
        <f t="shared" si="0"/>
        <v>0</v>
      </c>
      <c r="F14" s="222">
        <f t="shared" si="1"/>
        <v>0</v>
      </c>
      <c r="G14" s="223">
        <f t="shared" si="2"/>
        <v>0</v>
      </c>
      <c r="H14" s="223">
        <f t="shared" si="3"/>
        <v>0</v>
      </c>
      <c r="I14" s="223">
        <f t="shared" si="4"/>
        <v>0</v>
      </c>
      <c r="J14" s="60"/>
    </row>
    <row r="15" spans="1:16" x14ac:dyDescent="0.25">
      <c r="A15" s="60"/>
      <c r="B15" s="111" t="s">
        <v>12</v>
      </c>
      <c r="C15" s="140"/>
      <c r="D15" s="248"/>
      <c r="E15" s="247">
        <f t="shared" si="0"/>
        <v>0</v>
      </c>
      <c r="F15" s="222">
        <f t="shared" si="1"/>
        <v>0</v>
      </c>
      <c r="G15" s="223">
        <f t="shared" si="2"/>
        <v>0</v>
      </c>
      <c r="H15" s="223">
        <f t="shared" si="3"/>
        <v>0</v>
      </c>
      <c r="I15" s="223">
        <f t="shared" si="4"/>
        <v>0</v>
      </c>
      <c r="J15" s="60"/>
    </row>
    <row r="16" spans="1:16" ht="15" customHeight="1" x14ac:dyDescent="0.25">
      <c r="A16" s="60"/>
      <c r="B16" s="112" t="s">
        <v>17</v>
      </c>
      <c r="C16" s="249"/>
      <c r="D16" s="250"/>
      <c r="E16" s="247">
        <f t="shared" si="0"/>
        <v>0</v>
      </c>
      <c r="F16" s="222">
        <f t="shared" si="1"/>
        <v>0</v>
      </c>
      <c r="G16" s="223">
        <f t="shared" si="2"/>
        <v>0</v>
      </c>
      <c r="H16" s="223">
        <f t="shared" si="3"/>
        <v>0</v>
      </c>
      <c r="I16" s="223">
        <f t="shared" si="4"/>
        <v>0</v>
      </c>
      <c r="J16" s="60"/>
      <c r="K16" s="376"/>
      <c r="L16" s="376"/>
      <c r="M16" s="376"/>
      <c r="N16" s="376"/>
      <c r="O16" s="376"/>
      <c r="P16" s="376"/>
    </row>
    <row r="17" spans="1:10" x14ac:dyDescent="0.25">
      <c r="A17" s="60"/>
      <c r="B17" s="111" t="s">
        <v>14</v>
      </c>
      <c r="C17" s="140"/>
      <c r="D17" s="248"/>
      <c r="E17" s="247">
        <f t="shared" si="0"/>
        <v>0</v>
      </c>
      <c r="F17" s="222">
        <f t="shared" si="1"/>
        <v>0</v>
      </c>
      <c r="G17" s="223">
        <f t="shared" si="2"/>
        <v>0</v>
      </c>
      <c r="H17" s="223">
        <f t="shared" si="3"/>
        <v>0</v>
      </c>
      <c r="I17" s="223">
        <f t="shared" si="4"/>
        <v>0</v>
      </c>
      <c r="J17" s="60"/>
    </row>
    <row r="18" spans="1:10" x14ac:dyDescent="0.25">
      <c r="A18" s="60"/>
      <c r="B18" s="111" t="s">
        <v>18</v>
      </c>
      <c r="C18" s="140"/>
      <c r="D18" s="248"/>
      <c r="E18" s="247">
        <f t="shared" si="0"/>
        <v>0</v>
      </c>
      <c r="F18" s="222">
        <f t="shared" si="1"/>
        <v>0</v>
      </c>
      <c r="G18" s="223">
        <f t="shared" si="2"/>
        <v>0</v>
      </c>
      <c r="H18" s="223">
        <f t="shared" si="3"/>
        <v>0</v>
      </c>
      <c r="I18" s="223">
        <f t="shared" si="4"/>
        <v>0</v>
      </c>
      <c r="J18" s="60"/>
    </row>
    <row r="19" spans="1:10" x14ac:dyDescent="0.25">
      <c r="A19" s="60"/>
      <c r="B19" s="111" t="s">
        <v>19</v>
      </c>
      <c r="C19" s="140"/>
      <c r="D19" s="248"/>
      <c r="E19" s="247">
        <f t="shared" si="0"/>
        <v>0</v>
      </c>
      <c r="F19" s="222">
        <f t="shared" si="1"/>
        <v>0</v>
      </c>
      <c r="G19" s="223">
        <f t="shared" si="2"/>
        <v>0</v>
      </c>
      <c r="H19" s="223">
        <f t="shared" si="3"/>
        <v>0</v>
      </c>
      <c r="I19" s="223">
        <f t="shared" si="4"/>
        <v>0</v>
      </c>
      <c r="J19" s="60"/>
    </row>
    <row r="20" spans="1:10" s="32" customFormat="1" x14ac:dyDescent="0.25">
      <c r="A20" s="60"/>
      <c r="B20" s="111" t="s">
        <v>115</v>
      </c>
      <c r="C20" s="140"/>
      <c r="D20" s="248"/>
      <c r="E20" s="247">
        <f t="shared" si="0"/>
        <v>0</v>
      </c>
      <c r="F20" s="222">
        <f t="shared" si="1"/>
        <v>0</v>
      </c>
      <c r="G20" s="223">
        <f t="shared" si="2"/>
        <v>0</v>
      </c>
      <c r="H20" s="223">
        <f t="shared" si="3"/>
        <v>0</v>
      </c>
      <c r="I20" s="223">
        <f t="shared" si="4"/>
        <v>0</v>
      </c>
      <c r="J20" s="60"/>
    </row>
    <row r="21" spans="1:10" x14ac:dyDescent="0.25">
      <c r="A21" s="60"/>
      <c r="B21" s="111" t="s">
        <v>20</v>
      </c>
      <c r="C21" s="140"/>
      <c r="D21" s="248"/>
      <c r="E21" s="247">
        <f t="shared" si="0"/>
        <v>0</v>
      </c>
      <c r="F21" s="222">
        <f t="shared" si="1"/>
        <v>0</v>
      </c>
      <c r="G21" s="223">
        <f t="shared" si="2"/>
        <v>0</v>
      </c>
      <c r="H21" s="223">
        <f t="shared" si="3"/>
        <v>0</v>
      </c>
      <c r="I21" s="223">
        <f t="shared" si="4"/>
        <v>0</v>
      </c>
      <c r="J21" s="60"/>
    </row>
    <row r="22" spans="1:10" x14ac:dyDescent="0.25">
      <c r="A22" s="60"/>
      <c r="B22" s="111" t="s">
        <v>13</v>
      </c>
      <c r="C22" s="140"/>
      <c r="D22" s="248"/>
      <c r="E22" s="247">
        <f t="shared" si="0"/>
        <v>0</v>
      </c>
      <c r="F22" s="222">
        <f t="shared" si="1"/>
        <v>0</v>
      </c>
      <c r="G22" s="223">
        <f t="shared" si="2"/>
        <v>0</v>
      </c>
      <c r="H22" s="223">
        <f t="shared" si="3"/>
        <v>0</v>
      </c>
      <c r="I22" s="223">
        <f t="shared" si="4"/>
        <v>0</v>
      </c>
      <c r="J22" s="60"/>
    </row>
    <row r="23" spans="1:10" s="32" customFormat="1" x14ac:dyDescent="0.25">
      <c r="A23" s="60"/>
      <c r="B23" s="111"/>
      <c r="C23" s="140"/>
      <c r="D23" s="248"/>
      <c r="E23" s="247">
        <f t="shared" si="0"/>
        <v>0</v>
      </c>
      <c r="F23" s="222">
        <f t="shared" si="1"/>
        <v>0</v>
      </c>
      <c r="G23" s="223">
        <f t="shared" ref="G23" si="9">D23*C23</f>
        <v>0</v>
      </c>
      <c r="H23" s="223">
        <f t="shared" ref="H23" si="10">E23*C23</f>
        <v>0</v>
      </c>
      <c r="I23" s="223">
        <f t="shared" ref="I23" si="11">F23*C23</f>
        <v>0</v>
      </c>
      <c r="J23" s="60"/>
    </row>
    <row r="24" spans="1:10" s="32" customFormat="1" ht="15.75" x14ac:dyDescent="0.25">
      <c r="A24" s="60"/>
      <c r="B24" s="119" t="s">
        <v>40</v>
      </c>
      <c r="C24" s="94"/>
      <c r="D24" s="224">
        <f>SUM(D5:D23)</f>
        <v>0</v>
      </c>
      <c r="E24" s="224">
        <f>SUM(E5:E23)</f>
        <v>0</v>
      </c>
      <c r="F24" s="225">
        <f>SUM(F5:F23)</f>
        <v>0</v>
      </c>
      <c r="G24" s="226">
        <f t="shared" ref="G24:I24" si="12">SUM(G5:G23)</f>
        <v>0</v>
      </c>
      <c r="H24" s="226">
        <f t="shared" si="12"/>
        <v>0</v>
      </c>
      <c r="I24" s="226">
        <f t="shared" si="12"/>
        <v>0</v>
      </c>
      <c r="J24" s="60"/>
    </row>
    <row r="25" spans="1:10" x14ac:dyDescent="0.25">
      <c r="A25" s="60"/>
      <c r="B25" s="60"/>
      <c r="C25" s="60"/>
      <c r="D25" s="60"/>
      <c r="E25" s="60"/>
      <c r="F25" s="60"/>
      <c r="G25" s="60"/>
      <c r="H25" s="60"/>
      <c r="I25" s="60"/>
      <c r="J25" s="60"/>
    </row>
  </sheetData>
  <sheetProtection algorithmName="SHA-512" hashValue="tz64kiPEMyeTOTqevrjFGreeHdo/8gq5RrkkLo2bU7a6rcEKQdCOT5+jO8XPlgDM9W50YcC+c5+OX0QdAOOKAA==" saltValue="dTTwpXKoTch773ZiqMg/OA==" spinCount="100000" sheet="1" objects="1" scenarios="1" selectLockedCells="1"/>
  <mergeCells count="2">
    <mergeCell ref="K16:P16"/>
    <mergeCell ref="C2:I3"/>
  </mergeCells>
  <pageMargins left="0.7" right="0.7" top="0.75" bottom="0.75" header="0.3" footer="0.3"/>
  <pageSetup paperSize="9" orientation="portrait" r:id="rId1"/>
  <ignoredErrors>
    <ignoredError sqref="H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#0 Welcome</vt:lpstr>
      <vt:lpstr>#1 Data</vt:lpstr>
      <vt:lpstr>#2 Consumption</vt:lpstr>
      <vt:lpstr>#3 Wind turbine estimation</vt:lpstr>
      <vt:lpstr>#4 Solar panel estimation</vt:lpstr>
      <vt:lpstr>#5 Equipment</vt:lpstr>
      <vt:lpstr>#6 Batteries bank estimation</vt:lpstr>
      <vt:lpstr>#7 Cables, ground and others</vt:lpstr>
      <vt:lpstr>#8 Budget</vt:lpstr>
      <vt:lpstr>Values &amp; Tables</vt:lpstr>
      <vt:lpstr>angulo</vt:lpstr>
      <vt:lpstr>AWG</vt:lpstr>
      <vt:lpstr>Inverter</vt:lpstr>
      <vt:lpstr>mm</vt:lpstr>
      <vt:lpstr>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2018-11-01T08:27:22Z</dcterms:modified>
</cp:coreProperties>
</file>